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iversen\"/>
    </mc:Choice>
  </mc:AlternateContent>
  <xr:revisionPtr revIDLastSave="0" documentId="13_ncr:1_{53C1E752-4B57-483A-97E2-5FCBFAAB3A42}" xr6:coauthVersionLast="46" xr6:coauthVersionMax="46" xr10:uidLastSave="{00000000-0000-0000-0000-000000000000}"/>
  <bookViews>
    <workbookView xWindow="-120" yWindow="-120" windowWidth="29040" windowHeight="15840" xr2:uid="{ABCD4981-C01B-4B1F-9495-BB9C21AF22DD}"/>
  </bookViews>
  <sheets>
    <sheet name="Forest FES-rekenschema" sheetId="1" r:id="rId1"/>
    <sheet name="Blad2" sheetId="4" r:id="rId2"/>
    <sheet name="Blad3" sheetId="7" r:id="rId3"/>
  </sheets>
  <definedNames>
    <definedName name="_r1e">'Forest FES-rekenschema'!$D$63:$U$63</definedName>
    <definedName name="_r1m">'Forest FES-rekenschema'!$D$64:$U$64</definedName>
    <definedName name="_r2e">'Forest FES-rekenschema'!$D$65:$U$65</definedName>
    <definedName name="_r2m">'Forest FES-rekenschema'!$D$66:$U$66</definedName>
    <definedName name="_r3e">'Forest FES-rekenschema'!$D$67:$U$67</definedName>
    <definedName name="_r3m">'Forest FES-rekenschema'!$D$68:$U$68</definedName>
    <definedName name="_r4e">'Forest FES-rekenschema'!$D$69:$U$69</definedName>
    <definedName name="_r4m">'Forest FES-rekenschema'!$D$70:$U$70</definedName>
    <definedName name="_r5e">'Forest FES-rekenschema'!$D$71:$U$71</definedName>
    <definedName name="_r5m">'Forest FES-rekenschema'!$D$72:$U$72</definedName>
    <definedName name="_xlnm.Print_Area" localSheetId="1">Blad2!$A$1</definedName>
    <definedName name="_xlnm.Print_Area" localSheetId="0">'Forest FES-rekenschema'!$A$1:$AE$33</definedName>
    <definedName name="DEF3000000">Blad2!$XFD$1000000</definedName>
    <definedName name="rail_naam">Blad2!$BJ$106:$BJ$116</definedName>
    <definedName name="Zoek_Rail">OFFSET(Blad2!$BI$105,MATCH(Blad2!$BL$105,rail_naam,0),0,1,1)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H46" i="1"/>
  <c r="H49" i="1" s="1"/>
  <c r="H48" i="1"/>
  <c r="H51" i="1" s="1"/>
  <c r="H47" i="1"/>
  <c r="H50" i="1" s="1"/>
  <c r="J47" i="1" s="1"/>
  <c r="A14" i="1" l="1"/>
  <c r="AE17" i="1"/>
  <c r="AE15" i="1"/>
  <c r="AE7" i="1"/>
  <c r="AE9" i="1"/>
  <c r="AB18" i="1"/>
  <c r="AB17" i="1"/>
  <c r="U53" i="1"/>
  <c r="S53" i="1"/>
  <c r="N53" i="1"/>
  <c r="M53" i="1"/>
  <c r="K53" i="1"/>
  <c r="W53" i="1"/>
  <c r="Z53" i="1"/>
  <c r="Y53" i="1"/>
  <c r="I42" i="1"/>
  <c r="G37" i="1"/>
  <c r="G36" i="1"/>
  <c r="H36" i="1"/>
  <c r="H38" i="1" s="1"/>
  <c r="H37" i="1"/>
  <c r="I51" i="1"/>
  <c r="I45" i="1"/>
  <c r="AD53" i="1"/>
  <c r="AC53" i="1"/>
  <c r="AA53" i="1"/>
  <c r="I41" i="1"/>
  <c r="I40" i="1"/>
  <c r="I39" i="1"/>
  <c r="X59" i="1"/>
  <c r="Y59" i="1"/>
  <c r="Z59" i="1"/>
  <c r="AA59" i="1"/>
  <c r="AB59" i="1"/>
  <c r="AC59" i="1"/>
  <c r="I50" i="1"/>
  <c r="AC37" i="1" l="1"/>
  <c r="AA37" i="1"/>
  <c r="Y37" i="1"/>
  <c r="AD58" i="1"/>
  <c r="J49" i="1"/>
  <c r="J48" i="1"/>
  <c r="K37" i="1" l="1"/>
  <c r="K38" i="1" s="1"/>
  <c r="U37" i="1"/>
  <c r="S37" i="1"/>
  <c r="O37" i="1"/>
  <c r="M37" i="1"/>
  <c r="Z37" i="1"/>
  <c r="N37" i="1"/>
  <c r="W37" i="1"/>
  <c r="R37" i="1"/>
  <c r="Q37" i="1"/>
  <c r="AD37" i="1"/>
  <c r="V37" i="1"/>
  <c r="K39" i="1" l="1"/>
  <c r="K40" i="1" s="1"/>
  <c r="M38" i="1"/>
  <c r="M39" i="1" s="1"/>
  <c r="M40" i="1" s="1"/>
  <c r="N38" i="1"/>
  <c r="N39" i="1" s="1"/>
  <c r="N40" i="1" s="1"/>
  <c r="O38" i="1"/>
  <c r="O39" i="1" s="1"/>
  <c r="O40" i="1" s="1"/>
  <c r="Q38" i="1"/>
  <c r="Q39" i="1" s="1"/>
  <c r="Q40" i="1" s="1"/>
  <c r="R38" i="1"/>
  <c r="R39" i="1" s="1"/>
  <c r="R40" i="1" s="1"/>
  <c r="S38" i="1"/>
  <c r="S39" i="1" s="1"/>
  <c r="S40" i="1" s="1"/>
  <c r="U38" i="1"/>
  <c r="U39" i="1" s="1"/>
  <c r="U40" i="1" s="1"/>
  <c r="V38" i="1"/>
  <c r="V39" i="1" s="1"/>
  <c r="V40" i="1" s="1"/>
  <c r="W38" i="1"/>
  <c r="W39" i="1" s="1"/>
  <c r="W40" i="1" s="1"/>
  <c r="Y38" i="1"/>
  <c r="Y39" i="1" s="1"/>
  <c r="Y40" i="1" s="1"/>
  <c r="Z38" i="1"/>
  <c r="Z39" i="1" s="1"/>
  <c r="Z40" i="1" s="1"/>
  <c r="AA38" i="1"/>
  <c r="AA39" i="1" s="1"/>
  <c r="AA40" i="1" s="1"/>
  <c r="AC38" i="1"/>
  <c r="AC39" i="1" s="1"/>
  <c r="AC40" i="1" s="1"/>
  <c r="R42" i="1" l="1"/>
  <c r="R52" i="1"/>
  <c r="Q42" i="1"/>
  <c r="Q52" i="1"/>
  <c r="AA42" i="1"/>
  <c r="AA52" i="1"/>
  <c r="AA51" i="1" s="1"/>
  <c r="AB51" i="1" s="1"/>
  <c r="Z52" i="1"/>
  <c r="Y42" i="1"/>
  <c r="Y45" i="1" s="1"/>
  <c r="K70" i="1" s="1"/>
  <c r="W42" i="1"/>
  <c r="W52" i="1"/>
  <c r="W51" i="1" s="1"/>
  <c r="K42" i="1"/>
  <c r="K52" i="1"/>
  <c r="K51" i="1" s="1"/>
  <c r="L51" i="1" s="1"/>
  <c r="N42" i="1"/>
  <c r="N52" i="1"/>
  <c r="M42" i="1"/>
  <c r="M52" i="1"/>
  <c r="O42" i="1"/>
  <c r="O52" i="1"/>
  <c r="S42" i="1"/>
  <c r="S52" i="1"/>
  <c r="V42" i="1"/>
  <c r="V52" i="1"/>
  <c r="U42" i="1"/>
  <c r="U52" i="1"/>
  <c r="AC52" i="1"/>
  <c r="AC42" i="1"/>
  <c r="Q45" i="1" l="1"/>
  <c r="L66" i="1" s="1"/>
  <c r="Q43" i="1"/>
  <c r="Q51" i="1"/>
  <c r="R51" i="1" s="1"/>
  <c r="Q46" i="1"/>
  <c r="M66" i="1" s="1"/>
  <c r="R43" i="1"/>
  <c r="Z42" i="1"/>
  <c r="AA43" i="1"/>
  <c r="AA45" i="1"/>
  <c r="X51" i="1"/>
  <c r="Y43" i="1"/>
  <c r="Y52" i="1"/>
  <c r="Y55" i="1" s="1"/>
  <c r="W43" i="1"/>
  <c r="W45" i="1"/>
  <c r="K45" i="1"/>
  <c r="K43" i="1"/>
  <c r="M51" i="1"/>
  <c r="N51" i="1" s="1"/>
  <c r="M55" i="1"/>
  <c r="M43" i="1"/>
  <c r="M45" i="1"/>
  <c r="J64" i="1" s="1"/>
  <c r="N55" i="1"/>
  <c r="M46" i="1"/>
  <c r="O64" i="1" s="1"/>
  <c r="N43" i="1"/>
  <c r="S51" i="1"/>
  <c r="T51" i="1" s="1"/>
  <c r="U55" i="1"/>
  <c r="U51" i="1"/>
  <c r="V51" i="1" s="1"/>
  <c r="V55" i="1"/>
  <c r="O51" i="1"/>
  <c r="P51" i="1" s="1"/>
  <c r="O43" i="1"/>
  <c r="O45" i="1"/>
  <c r="S45" i="1"/>
  <c r="S43" i="1"/>
  <c r="U45" i="1"/>
  <c r="K68" i="1" s="1"/>
  <c r="U43" i="1"/>
  <c r="U46" i="1"/>
  <c r="N68" i="1" s="1"/>
  <c r="V43" i="1"/>
  <c r="AC43" i="1"/>
  <c r="AC45" i="1"/>
  <c r="Y46" i="1" l="1"/>
  <c r="O70" i="1" s="1"/>
  <c r="Z43" i="1"/>
  <c r="J51" i="1"/>
  <c r="U71" i="1"/>
  <c r="T71" i="1"/>
  <c r="Y51" i="1"/>
  <c r="Z55" i="1"/>
  <c r="R69" i="1"/>
  <c r="P69" i="1"/>
  <c r="U63" i="1"/>
  <c r="T63" i="1"/>
  <c r="Z51" i="1"/>
  <c r="J43" i="1"/>
  <c r="U65" i="1"/>
  <c r="S65" i="1"/>
  <c r="U67" i="1"/>
  <c r="T67" i="1"/>
  <c r="J72" i="1"/>
  <c r="J45" i="1"/>
  <c r="I46" i="1" s="1"/>
  <c r="AD38" i="1"/>
  <c r="AD39" i="1" s="1"/>
  <c r="AD40" i="1" s="1"/>
  <c r="AD42" i="1" l="1"/>
  <c r="AD52" i="1"/>
  <c r="J52" i="1" s="1"/>
  <c r="AC51" i="1" l="1"/>
  <c r="AD51" i="1"/>
  <c r="AD43" i="1"/>
  <c r="J44" i="1" s="1"/>
  <c r="AC46" i="1"/>
  <c r="J50" i="1" l="1"/>
  <c r="I49" i="1" s="1"/>
  <c r="J46" i="1"/>
  <c r="I47" i="1" s="1"/>
  <c r="O72" i="1"/>
  <c r="Z15" i="1" l="1"/>
  <c r="Z16" i="1"/>
  <c r="W4" i="1"/>
  <c r="W12" i="1"/>
  <c r="W8" i="1"/>
  <c r="W11" i="1"/>
  <c r="W3" i="1"/>
  <c r="W7" i="1"/>
  <c r="AC15" i="1"/>
  <c r="W15" i="1"/>
  <c r="Z12" i="1"/>
  <c r="AB12" i="1" s="1"/>
  <c r="Z11" i="1"/>
  <c r="AB11" i="1" s="1"/>
  <c r="I19" i="1"/>
  <c r="Z8" i="1"/>
  <c r="AD59" i="1"/>
  <c r="W61" i="1" s="1"/>
  <c r="Z3" i="1"/>
  <c r="Z4" i="1"/>
  <c r="Z7" i="1"/>
  <c r="AC7" i="1" s="1"/>
  <c r="W16" i="1" l="1"/>
  <c r="W20" i="1" s="1"/>
  <c r="AE16" i="1"/>
  <c r="AC8" i="1"/>
  <c r="AE8" i="1"/>
  <c r="AB16" i="1"/>
  <c r="X61" i="1"/>
  <c r="Y61" i="1"/>
  <c r="Z61" i="1"/>
  <c r="AA61" i="1"/>
  <c r="BK105" i="4"/>
  <c r="BL105" i="4" s="1"/>
  <c r="V61" i="1"/>
  <c r="AC16" i="1"/>
  <c r="AC17" i="1" s="1"/>
  <c r="Z20" i="1"/>
  <c r="AB20" i="1" s="1"/>
  <c r="AB15" i="1"/>
  <c r="Z19" i="1"/>
  <c r="AB19" i="1" s="1"/>
  <c r="W19" i="1"/>
  <c r="AC9" i="1"/>
  <c r="L31" i="1" a="1"/>
  <c r="L3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<sst xmlns="http://schemas.openxmlformats.org/spreadsheetml/2006/main" count="255" uniqueCount="108">
  <si>
    <t>aantal glijders</t>
  </si>
  <si>
    <t>Easywave</t>
  </si>
  <si>
    <t>Vol + 2:</t>
  </si>
  <si>
    <t>vol + 2?</t>
  </si>
  <si>
    <t>lengte loopvlak</t>
  </si>
  <si>
    <t>FMS</t>
  </si>
  <si>
    <t>Pulldown template</t>
  </si>
  <si>
    <t>FMS enkel</t>
  </si>
  <si>
    <t>FMS dubbel</t>
  </si>
  <si>
    <t>Foto</t>
  </si>
  <si>
    <t>rail-naam</t>
  </si>
  <si>
    <t>Rail b midden</t>
  </si>
  <si>
    <t>FMS M</t>
  </si>
  <si>
    <t>R</t>
  </si>
  <si>
    <t>L</t>
  </si>
  <si>
    <r>
      <rPr>
        <sz val="20"/>
        <color theme="1"/>
        <rFont val="Calibri"/>
        <family val="2"/>
        <scheme val="minor"/>
      </rPr>
      <t>]</t>
    </r>
    <r>
      <rPr>
        <sz val="11"/>
        <color theme="1"/>
        <rFont val="Calibri"/>
        <family val="2"/>
        <scheme val="minor"/>
      </rPr>
      <t>Omschrijving</t>
    </r>
  </si>
  <si>
    <t>eindkap R</t>
  </si>
  <si>
    <t>eindkap L</t>
  </si>
  <si>
    <t>ingvld?</t>
  </si>
  <si>
    <t>X</t>
  </si>
  <si>
    <t>MRS</t>
  </si>
  <si>
    <t>DSXL motorised</t>
  </si>
  <si>
    <t>DSXLME</t>
  </si>
  <si>
    <t>DSXLMM</t>
  </si>
  <si>
    <t>KS E</t>
  </si>
  <si>
    <t>KS M</t>
  </si>
  <si>
    <t>MRS E</t>
  </si>
  <si>
    <t>MRS M</t>
  </si>
  <si>
    <t>CCS E</t>
  </si>
  <si>
    <t>CCS M</t>
  </si>
  <si>
    <t>Minimale maat</t>
  </si>
  <si>
    <t>…</t>
  </si>
  <si>
    <t>KS enkel</t>
  </si>
  <si>
    <t>KS midden</t>
  </si>
  <si>
    <t>r1m</t>
  </si>
  <si>
    <t>r1e</t>
  </si>
  <si>
    <t>r2e</t>
  </si>
  <si>
    <t>r2m</t>
  </si>
  <si>
    <t>r3e</t>
  </si>
  <si>
    <t>r3m</t>
  </si>
  <si>
    <t>r4e</t>
  </si>
  <si>
    <t>r4m</t>
  </si>
  <si>
    <t>r5e</t>
  </si>
  <si>
    <t>r5m</t>
  </si>
  <si>
    <t xml:space="preserve"> </t>
  </si>
  <si>
    <t xml:space="preserve">  </t>
  </si>
  <si>
    <t>DSXL motor enkel</t>
  </si>
  <si>
    <t>totaal Rechts en enkel haken</t>
  </si>
  <si>
    <t>totaal Links haken</t>
  </si>
  <si>
    <t>MRS enkel</t>
  </si>
  <si>
    <t>CCS enkel</t>
  </si>
  <si>
    <t>MRS midden</t>
  </si>
  <si>
    <t>CCS midden</t>
  </si>
  <si>
    <t>start rekenen koord</t>
  </si>
  <si>
    <t>afronden</t>
  </si>
  <si>
    <t>extra glijders</t>
  </si>
  <si>
    <t>FMS E</t>
  </si>
  <si>
    <t>extra haken in gordijn</t>
  </si>
  <si>
    <t>pakketdikte</t>
  </si>
  <si>
    <r>
      <rPr>
        <sz val="20"/>
        <color theme="1"/>
        <rFont val="Calibri"/>
        <family val="2"/>
        <scheme val="minor"/>
      </rPr>
      <t>]</t>
    </r>
    <r>
      <rPr>
        <sz val="11"/>
        <color theme="1"/>
        <rFont val="Calibri"/>
        <family val="2"/>
        <scheme val="minor"/>
      </rPr>
      <t>totaal glijders</t>
    </r>
  </si>
  <si>
    <t>Aantal rol?</t>
  </si>
  <si>
    <t xml:space="preserve">5,4cm/ 6cm/ 8cm = </t>
  </si>
  <si>
    <t>op rol =</t>
  </si>
  <si>
    <t>offset center voorlopers / alleen voor middensl. A sym rekenen vanuit middenpunt</t>
  </si>
  <si>
    <t xml:space="preserve"> Easyflex &lt;&gt;</t>
  </si>
  <si>
    <t xml:space="preserve">Easywave      = </t>
  </si>
  <si>
    <t>Easyflex</t>
  </si>
  <si>
    <t>KS / DS / CS</t>
  </si>
  <si>
    <t xml:space="preserve">wave = </t>
  </si>
  <si>
    <t>flex =</t>
  </si>
  <si>
    <t>Pakket gelijk?</t>
  </si>
  <si>
    <t>FES-wave</t>
  </si>
  <si>
    <t>tot. tape=</t>
  </si>
  <si>
    <t>5,4 cm (100%)</t>
  </si>
  <si>
    <t>6 cm (80%)</t>
  </si>
  <si>
    <t>8 cm (60%)</t>
  </si>
  <si>
    <t>a</t>
  </si>
  <si>
    <t>b</t>
  </si>
  <si>
    <t>c</t>
  </si>
  <si>
    <t>d</t>
  </si>
  <si>
    <t>e</t>
  </si>
  <si>
    <t>f</t>
  </si>
  <si>
    <t xml:space="preserve">Rail type      = </t>
  </si>
  <si>
    <t xml:space="preserve">Track size in cm = </t>
  </si>
  <si>
    <t>One-way draw &lt;&gt;</t>
  </si>
  <si>
    <t xml:space="preserve">Center closing   = </t>
  </si>
  <si>
    <t xml:space="preserve">Wave depth in cm = </t>
  </si>
  <si>
    <t>One-way draw</t>
  </si>
  <si>
    <t>Center closing</t>
  </si>
  <si>
    <t>needed</t>
  </si>
  <si>
    <t xml:space="preserve">Amount of hooks </t>
  </si>
  <si>
    <t>Amount of</t>
  </si>
  <si>
    <t>carriers needed</t>
  </si>
  <si>
    <t>(minimal)</t>
  </si>
  <si>
    <t>Curtain stacking</t>
  </si>
  <si>
    <t>in open position</t>
  </si>
  <si>
    <t>Total tape length</t>
  </si>
  <si>
    <t>required</t>
  </si>
  <si>
    <t>Curtain fullness</t>
  </si>
  <si>
    <t>* Center closing only for calculating a symmetrical curtain.</t>
  </si>
  <si>
    <t>n</t>
  </si>
  <si>
    <t>default</t>
  </si>
  <si>
    <t>* No rights can be derived from this calculation tool.</t>
  </si>
  <si>
    <t>Yes</t>
  </si>
  <si>
    <t>No</t>
  </si>
  <si>
    <t>y</t>
  </si>
  <si>
    <t>Options:</t>
  </si>
  <si>
    <t>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</si>
</sst>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name val="Calibri"/>
      <family val="2"/>
      <scheme val="minor"/>
    </font>
    <font>
      <sz val="20"/>
      <name val="Calibri"/>
      <family val="2"/>
      <scheme val="minor"/>
    </font>
    <font>
      <sz val="28"/>
      <name val="Syntax LT Std Black"/>
      <family val="2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9" xfId="0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protection hidden="1"/>
    </xf>
    <xf numFmtId="0" fontId="0" fillId="0" borderId="6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0" borderId="8" xfId="0" applyFill="1" applyBorder="1" applyProtection="1">
      <protection hidden="1"/>
    </xf>
    <xf numFmtId="0" fontId="0" fillId="0" borderId="8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Fill="1" applyBorder="1" applyProtection="1">
      <protection hidden="1"/>
    </xf>
    <xf numFmtId="0" fontId="0" fillId="0" borderId="0" xfId="0" quotePrefix="1" applyFill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" xfId="0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20" xfId="0" applyBorder="1" applyProtection="1"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8" xfId="0" applyFill="1" applyBorder="1" applyAlignment="1" applyProtection="1">
      <alignment horizontal="center"/>
      <protection hidden="1"/>
    </xf>
    <xf numFmtId="0" fontId="0" fillId="0" borderId="0" xfId="0" applyFill="1"/>
    <xf numFmtId="0" fontId="0" fillId="2" borderId="7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left"/>
      <protection hidden="1"/>
    </xf>
    <xf numFmtId="0" fontId="0" fillId="0" borderId="5" xfId="0" applyBorder="1" applyProtection="1">
      <protection hidden="1"/>
    </xf>
    <xf numFmtId="0" fontId="0" fillId="0" borderId="4" xfId="0" applyFill="1" applyBorder="1" applyProtection="1">
      <protection hidden="1"/>
    </xf>
    <xf numFmtId="0" fontId="0" fillId="0" borderId="0" xfId="0" applyAlignment="1">
      <alignment horizontal="left" vertical="center"/>
    </xf>
    <xf numFmtId="0" fontId="0" fillId="0" borderId="18" xfId="0" applyBorder="1" applyAlignment="1" applyProtection="1">
      <alignment horizontal="center"/>
      <protection hidden="1"/>
    </xf>
    <xf numFmtId="0" fontId="0" fillId="0" borderId="0" xfId="0" applyFont="1" applyAlignment="1">
      <alignment horizontal="left" vertical="center"/>
    </xf>
    <xf numFmtId="0" fontId="0" fillId="2" borderId="20" xfId="0" applyFill="1" applyBorder="1" applyProtection="1">
      <protection hidden="1"/>
    </xf>
    <xf numFmtId="0" fontId="0" fillId="2" borderId="20" xfId="0" applyFill="1" applyBorder="1" applyAlignment="1" applyProtection="1">
      <protection hidden="1"/>
    </xf>
    <xf numFmtId="0" fontId="0" fillId="2" borderId="26" xfId="0" applyFill="1" applyBorder="1" applyAlignment="1" applyProtection="1">
      <protection hidden="1"/>
    </xf>
    <xf numFmtId="0" fontId="0" fillId="0" borderId="6" xfId="0" applyFill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0" fillId="3" borderId="21" xfId="0" applyFill="1" applyBorder="1" applyAlignment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5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12" xfId="0" applyFill="1" applyBorder="1" applyProtection="1">
      <protection hidden="1"/>
    </xf>
    <xf numFmtId="0" fontId="0" fillId="0" borderId="3" xfId="0" applyFill="1" applyBorder="1" applyAlignment="1" applyProtection="1"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protection hidden="1"/>
    </xf>
    <xf numFmtId="0" fontId="0" fillId="0" borderId="20" xfId="0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Border="1" applyProtection="1"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0" borderId="5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4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0" fillId="0" borderId="1" xfId="0" applyFill="1" applyBorder="1" applyAlignment="1" applyProtection="1">
      <protection hidden="1"/>
    </xf>
    <xf numFmtId="0" fontId="0" fillId="0" borderId="10" xfId="0" applyFill="1" applyBorder="1" applyAlignment="1" applyProtection="1">
      <protection hidden="1"/>
    </xf>
    <xf numFmtId="0" fontId="0" fillId="0" borderId="30" xfId="0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1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Border="1" applyProtection="1">
      <protection hidden="1"/>
    </xf>
    <xf numFmtId="0" fontId="2" fillId="4" borderId="22" xfId="0" applyFont="1" applyFill="1" applyBorder="1" applyProtection="1">
      <protection hidden="1"/>
    </xf>
    <xf numFmtId="0" fontId="2" fillId="4" borderId="23" xfId="0" applyFont="1" applyFill="1" applyBorder="1" applyProtection="1">
      <protection hidden="1"/>
    </xf>
    <xf numFmtId="0" fontId="2" fillId="4" borderId="23" xfId="0" applyFont="1" applyFill="1" applyBorder="1" applyAlignment="1" applyProtection="1">
      <alignment horizontal="right"/>
      <protection hidden="1"/>
    </xf>
    <xf numFmtId="0" fontId="2" fillId="4" borderId="17" xfId="0" applyFont="1" applyFill="1" applyBorder="1" applyProtection="1">
      <protection hidden="1"/>
    </xf>
    <xf numFmtId="0" fontId="2" fillId="4" borderId="14" xfId="0" applyFont="1" applyFill="1" applyBorder="1" applyAlignment="1" applyProtection="1">
      <protection hidden="1"/>
    </xf>
    <xf numFmtId="0" fontId="2" fillId="4" borderId="0" xfId="0" applyFont="1" applyFill="1" applyBorder="1" applyAlignment="1" applyProtection="1">
      <alignment horizontal="left"/>
      <protection hidden="1"/>
    </xf>
    <xf numFmtId="0" fontId="2" fillId="4" borderId="16" xfId="0" applyFont="1" applyFill="1" applyBorder="1" applyProtection="1">
      <protection hidden="1"/>
    </xf>
    <xf numFmtId="0" fontId="2" fillId="4" borderId="8" xfId="0" applyFont="1" applyFill="1" applyBorder="1" applyProtection="1">
      <protection hidden="1"/>
    </xf>
    <xf numFmtId="0" fontId="2" fillId="4" borderId="8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left"/>
      <protection hidden="1"/>
    </xf>
    <xf numFmtId="0" fontId="2" fillId="4" borderId="14" xfId="0" applyFont="1" applyFill="1" applyBorder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2" fillId="4" borderId="0" xfId="0" applyFont="1" applyFill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right"/>
      <protection hidden="1"/>
    </xf>
    <xf numFmtId="0" fontId="2" fillId="4" borderId="14" xfId="0" applyFont="1" applyFill="1" applyBorder="1" applyAlignment="1" applyProtection="1">
      <alignment horizontal="left"/>
      <protection hidden="1"/>
    </xf>
    <xf numFmtId="0" fontId="2" fillId="4" borderId="8" xfId="0" applyFont="1" applyFill="1" applyBorder="1" applyAlignment="1" applyProtection="1">
      <protection hidden="1"/>
    </xf>
    <xf numFmtId="1" fontId="2" fillId="4" borderId="8" xfId="0" applyNumberFormat="1" applyFont="1" applyFill="1" applyBorder="1" applyAlignment="1" applyProtection="1"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1" fontId="2" fillId="4" borderId="0" xfId="0" applyNumberFormat="1" applyFont="1" applyFill="1" applyBorder="1" applyAlignment="1" applyProtection="1">
      <protection hidden="1"/>
    </xf>
    <xf numFmtId="0" fontId="2" fillId="4" borderId="24" xfId="0" applyFont="1" applyFill="1" applyBorder="1" applyAlignment="1" applyProtection="1">
      <protection hidden="1"/>
    </xf>
    <xf numFmtId="0" fontId="2" fillId="4" borderId="1" xfId="0" applyFont="1" applyFill="1" applyBorder="1" applyAlignment="1" applyProtection="1">
      <protection hidden="1"/>
    </xf>
    <xf numFmtId="0" fontId="2" fillId="4" borderId="13" xfId="0" applyFont="1" applyFill="1" applyBorder="1" applyProtection="1">
      <protection hidden="1"/>
    </xf>
    <xf numFmtId="0" fontId="2" fillId="4" borderId="0" xfId="0" applyFont="1" applyFill="1" applyAlignment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left"/>
      <protection hidden="1"/>
    </xf>
    <xf numFmtId="1" fontId="2" fillId="4" borderId="0" xfId="0" applyNumberFormat="1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1" fontId="2" fillId="4" borderId="0" xfId="1" applyNumberFormat="1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1" fontId="2" fillId="4" borderId="1" xfId="1" applyNumberFormat="1" applyFont="1" applyFill="1" applyBorder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locked="0" hidden="1"/>
    </xf>
    <xf numFmtId="0" fontId="2" fillId="4" borderId="23" xfId="0" applyFont="1" applyFill="1" applyBorder="1" applyAlignment="1" applyProtection="1">
      <alignment horizontal="center" vertical="center"/>
      <protection locked="0" hidden="1"/>
    </xf>
    <xf numFmtId="0" fontId="2" fillId="4" borderId="17" xfId="0" applyFont="1" applyFill="1" applyBorder="1" applyAlignment="1" applyProtection="1">
      <alignment horizontal="center" vertical="center"/>
      <protection locked="0" hidden="1"/>
    </xf>
    <xf numFmtId="0" fontId="2" fillId="4" borderId="7" xfId="0" applyFont="1" applyFill="1" applyBorder="1" applyAlignment="1" applyProtection="1">
      <alignment horizontal="center" vertical="center"/>
      <protection locked="0" hidden="1"/>
    </xf>
    <xf numFmtId="0" fontId="2" fillId="4" borderId="8" xfId="0" applyFont="1" applyFill="1" applyBorder="1" applyAlignment="1" applyProtection="1">
      <alignment horizontal="center" vertical="center"/>
      <protection locked="0" hidden="1"/>
    </xf>
    <xf numFmtId="0" fontId="2" fillId="4" borderId="15" xfId="0" applyFont="1" applyFill="1" applyBorder="1" applyAlignment="1" applyProtection="1">
      <alignment horizontal="center" vertical="center"/>
      <protection locked="0" hidden="1"/>
    </xf>
    <xf numFmtId="0" fontId="2" fillId="4" borderId="22" xfId="0" applyFont="1" applyFill="1" applyBorder="1" applyAlignment="1" applyProtection="1">
      <alignment horizontal="center"/>
      <protection hidden="1"/>
    </xf>
    <xf numFmtId="0" fontId="2" fillId="4" borderId="23" xfId="0" applyFont="1" applyFill="1" applyBorder="1" applyAlignment="1" applyProtection="1">
      <alignment horizontal="center"/>
      <protection hidden="1"/>
    </xf>
    <xf numFmtId="0" fontId="2" fillId="4" borderId="27" xfId="0" applyFont="1" applyFill="1" applyBorder="1" applyAlignment="1" applyProtection="1">
      <alignment horizontal="right"/>
      <protection hidden="1"/>
    </xf>
    <xf numFmtId="0" fontId="2" fillId="4" borderId="8" xfId="0" applyFont="1" applyFill="1" applyBorder="1" applyAlignment="1" applyProtection="1">
      <alignment horizontal="right"/>
      <protection hidden="1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right" vertical="center"/>
      <protection hidden="1"/>
    </xf>
    <xf numFmtId="0" fontId="2" fillId="4" borderId="3" xfId="0" applyFont="1" applyFill="1" applyBorder="1" applyAlignment="1" applyProtection="1">
      <alignment horizontal="right" vertical="center"/>
      <protection hidden="1"/>
    </xf>
    <xf numFmtId="0" fontId="2" fillId="4" borderId="27" xfId="0" applyFont="1" applyFill="1" applyBorder="1" applyAlignment="1" applyProtection="1">
      <alignment horizontal="right" vertical="center"/>
      <protection hidden="1"/>
    </xf>
    <xf numFmtId="0" fontId="2" fillId="4" borderId="8" xfId="0" applyFont="1" applyFill="1" applyBorder="1" applyAlignment="1" applyProtection="1">
      <alignment horizontal="right" vertical="center"/>
      <protection hidden="1"/>
    </xf>
    <xf numFmtId="9" fontId="2" fillId="4" borderId="2" xfId="0" applyNumberFormat="1" applyFont="1" applyFill="1" applyBorder="1" applyAlignment="1" applyProtection="1">
      <alignment horizontal="center" vertical="center"/>
      <protection locked="0"/>
    </xf>
    <xf numFmtId="9" fontId="2" fillId="4" borderId="3" xfId="0" applyNumberFormat="1" applyFont="1" applyFill="1" applyBorder="1" applyAlignment="1" applyProtection="1">
      <alignment horizontal="center" vertical="center"/>
      <protection locked="0"/>
    </xf>
    <xf numFmtId="9" fontId="2" fillId="4" borderId="29" xfId="0" applyNumberFormat="1" applyFont="1" applyFill="1" applyBorder="1" applyAlignment="1" applyProtection="1">
      <alignment horizontal="center" vertical="center"/>
      <protection locked="0"/>
    </xf>
    <xf numFmtId="9" fontId="2" fillId="4" borderId="7" xfId="0" applyNumberFormat="1" applyFon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 applyProtection="1">
      <alignment horizontal="center" vertical="center"/>
      <protection locked="0"/>
    </xf>
    <xf numFmtId="9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right" vertical="center"/>
      <protection hidden="1"/>
    </xf>
    <xf numFmtId="0" fontId="2" fillId="4" borderId="1" xfId="0" applyFont="1" applyFill="1" applyBorder="1" applyAlignment="1" applyProtection="1">
      <alignment horizontal="right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center"/>
      <protection hidden="1"/>
    </xf>
    <xf numFmtId="0" fontId="0" fillId="2" borderId="2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22" xfId="0" applyFill="1" applyBorder="1" applyAlignment="1" applyProtection="1">
      <alignment horizontal="center"/>
      <protection hidden="1"/>
    </xf>
    <xf numFmtId="0" fontId="0" fillId="0" borderId="23" xfId="0" applyFill="1" applyBorder="1" applyAlignment="1" applyProtection="1">
      <alignment horizontal="center"/>
      <protection hidden="1"/>
    </xf>
    <xf numFmtId="0" fontId="0" fillId="0" borderId="17" xfId="0" applyFill="1" applyBorder="1" applyAlignment="1" applyProtection="1">
      <alignment horizontal="center"/>
      <protection hidden="1"/>
    </xf>
    <xf numFmtId="0" fontId="0" fillId="0" borderId="24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3" xfId="0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9" fontId="0" fillId="0" borderId="0" xfId="0" applyNumberFormat="1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 vertical="center"/>
      <protection locked="0" hidden="1"/>
    </xf>
    <xf numFmtId="0" fontId="2" fillId="4" borderId="3" xfId="0" applyFont="1" applyFill="1" applyBorder="1" applyAlignment="1" applyProtection="1">
      <alignment horizontal="center" vertical="center"/>
      <protection locked="0" hidden="1"/>
    </xf>
    <xf numFmtId="0" fontId="2" fillId="4" borderId="29" xfId="0" applyFont="1" applyFill="1" applyBorder="1" applyAlignment="1" applyProtection="1">
      <alignment horizontal="center" vertical="center"/>
      <protection locked="0" hidden="1"/>
    </xf>
    <xf numFmtId="0" fontId="2" fillId="4" borderId="9" xfId="0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/>
      <protection locked="0" hidden="1"/>
    </xf>
    <xf numFmtId="0" fontId="2" fillId="4" borderId="13" xfId="0" applyFont="1" applyFill="1" applyBorder="1" applyAlignment="1" applyProtection="1">
      <alignment horizontal="center" vertical="center"/>
      <protection locked="0"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0" borderId="12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9" fontId="0" fillId="0" borderId="8" xfId="0" applyNumberFormat="1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1" fontId="2" fillId="4" borderId="0" xfId="0" applyNumberFormat="1" applyFont="1" applyFill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2">
    <cellStyle name="Procent" xfId="1" builtinId="5"/>
    <cellStyle name="Standaard" xfId="0" builtinId="0"/>
  </cellStyles>
  <dxfs count="1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top style="thin">
          <color auto="1"/>
        </top>
        <bottom/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6B065A"/>
      <color rgb="FFA0528F"/>
      <color rgb="FFA055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13" Type="http://schemas.openxmlformats.org/officeDocument/2006/relationships/image" Target="../media/image16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12" Type="http://schemas.openxmlformats.org/officeDocument/2006/relationships/image" Target="../media/image15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11" Type="http://schemas.openxmlformats.org/officeDocument/2006/relationships/image" Target="../media/image14.png"/><Relationship Id="rId5" Type="http://schemas.openxmlformats.org/officeDocument/2006/relationships/image" Target="../media/image8.png"/><Relationship Id="rId10" Type="http://schemas.openxmlformats.org/officeDocument/2006/relationships/image" Target="../media/image13.png"/><Relationship Id="rId4" Type="http://schemas.openxmlformats.org/officeDocument/2006/relationships/image" Target="../media/image7.png"/><Relationship Id="rId9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259416</xdr:colOff>
      <xdr:row>0</xdr:row>
      <xdr:rowOff>184901</xdr:rowOff>
    </xdr:from>
    <xdr:to>
      <xdr:col>16</xdr:col>
      <xdr:colOff>275665</xdr:colOff>
      <xdr:row>6</xdr:row>
      <xdr:rowOff>88737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4A9BD9-3E9F-42C2-BC3A-BF93B7A2E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122" y="184901"/>
          <a:ext cx="3942790" cy="10597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39828</xdr:rowOff>
        </xdr:from>
        <xdr:to>
          <xdr:col>29</xdr:col>
          <xdr:colOff>16248</xdr:colOff>
          <xdr:row>30</xdr:row>
          <xdr:rowOff>0</xdr:rowOff>
        </xdr:to>
        <xdr:pic>
          <xdr:nvPicPr>
            <xdr:cNvPr id="4" name="Afbeelding 3">
              <a:extLst>
                <a:ext uri="{FF2B5EF4-FFF2-40B4-BE49-F238E27FC236}">
                  <a16:creationId xmlns:a16="http://schemas.microsoft.com/office/drawing/2014/main" id="{504CEA5C-C6D5-4508-A2D8-B40E0DDBF4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Zoek_Rail" spid="_x0000_s347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67050" y="3897453"/>
              <a:ext cx="5121648" cy="1884222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0</xdr:colOff>
      <xdr:row>106</xdr:row>
      <xdr:rowOff>0</xdr:rowOff>
    </xdr:from>
    <xdr:to>
      <xdr:col>61</xdr:col>
      <xdr:colOff>0</xdr:colOff>
      <xdr:row>106</xdr:row>
      <xdr:rowOff>1827107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AC39B6F0-EDD5-4B32-80D7-9E96B830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739286" y="21880286"/>
          <a:ext cx="5184321" cy="1827107"/>
        </a:xfrm>
        <a:prstGeom prst="rect">
          <a:avLst/>
        </a:prstGeom>
      </xdr:spPr>
    </xdr:pic>
    <xdr:clientData/>
  </xdr:twoCellAnchor>
  <xdr:twoCellAnchor editAs="oneCell">
    <xdr:from>
      <xdr:col>60</xdr:col>
      <xdr:colOff>1</xdr:colOff>
      <xdr:row>111</xdr:row>
      <xdr:rowOff>1</xdr:rowOff>
    </xdr:from>
    <xdr:to>
      <xdr:col>61</xdr:col>
      <xdr:colOff>2142</xdr:colOff>
      <xdr:row>112</xdr:row>
      <xdr:rowOff>1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D082A966-B2E8-426F-BD36-956F9CF5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39287" y="31269215"/>
          <a:ext cx="5179258" cy="1877786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106</xdr:row>
      <xdr:rowOff>1877784</xdr:rowOff>
    </xdr:from>
    <xdr:to>
      <xdr:col>61</xdr:col>
      <xdr:colOff>0</xdr:colOff>
      <xdr:row>108</xdr:row>
      <xdr:rowOff>6366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EB7E30CA-633A-48C6-8E16-EFEDF7972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39286" y="23758070"/>
          <a:ext cx="5184321" cy="1884153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112</xdr:row>
      <xdr:rowOff>1</xdr:rowOff>
    </xdr:from>
    <xdr:to>
      <xdr:col>61</xdr:col>
      <xdr:colOff>0</xdr:colOff>
      <xdr:row>113</xdr:row>
      <xdr:rowOff>11105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C4D88068-4A18-4E4C-BFD7-C70D35269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6739286" y="33147001"/>
          <a:ext cx="5184321" cy="1888890"/>
        </a:xfrm>
        <a:prstGeom prst="rect">
          <a:avLst/>
        </a:prstGeom>
      </xdr:spPr>
    </xdr:pic>
    <xdr:clientData/>
  </xdr:twoCellAnchor>
  <xdr:twoCellAnchor editAs="oneCell">
    <xdr:from>
      <xdr:col>65</xdr:col>
      <xdr:colOff>585107</xdr:colOff>
      <xdr:row>114</xdr:row>
      <xdr:rowOff>1809751</xdr:rowOff>
    </xdr:from>
    <xdr:to>
      <xdr:col>66</xdr:col>
      <xdr:colOff>138622</xdr:colOff>
      <xdr:row>115</xdr:row>
      <xdr:rowOff>136073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FCA0CDCB-8868-4DCD-9843-E9A882746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107678" y="38712322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64</xdr:col>
      <xdr:colOff>489858</xdr:colOff>
      <xdr:row>109</xdr:row>
      <xdr:rowOff>1796142</xdr:rowOff>
    </xdr:from>
    <xdr:to>
      <xdr:col>65</xdr:col>
      <xdr:colOff>13609</xdr:colOff>
      <xdr:row>110</xdr:row>
      <xdr:rowOff>85829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AC5A2921-703E-45C4-B5F3-213FA9118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00108" y="29309785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2639786</xdr:colOff>
      <xdr:row>106</xdr:row>
      <xdr:rowOff>503464</xdr:rowOff>
    </xdr:from>
    <xdr:to>
      <xdr:col>60</xdr:col>
      <xdr:colOff>2887471</xdr:colOff>
      <xdr:row>106</xdr:row>
      <xdr:rowOff>808307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4AC45E6D-684C-41B2-9B8C-F22B8D3D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79072" y="22383750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3823607</xdr:colOff>
      <xdr:row>106</xdr:row>
      <xdr:rowOff>517071</xdr:rowOff>
    </xdr:from>
    <xdr:to>
      <xdr:col>60</xdr:col>
      <xdr:colOff>4071292</xdr:colOff>
      <xdr:row>106</xdr:row>
      <xdr:rowOff>821914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EFE51C2C-D6F0-40CC-B5AD-A59A87D0E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62893" y="22397357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4354285</xdr:colOff>
      <xdr:row>106</xdr:row>
      <xdr:rowOff>1129393</xdr:rowOff>
    </xdr:from>
    <xdr:to>
      <xdr:col>60</xdr:col>
      <xdr:colOff>4601970</xdr:colOff>
      <xdr:row>106</xdr:row>
      <xdr:rowOff>1434236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4D890C58-87E2-4ACE-8D71-84D2527A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93571" y="23009679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3197679</xdr:colOff>
      <xdr:row>106</xdr:row>
      <xdr:rowOff>1143000</xdr:rowOff>
    </xdr:from>
    <xdr:to>
      <xdr:col>60</xdr:col>
      <xdr:colOff>3445364</xdr:colOff>
      <xdr:row>106</xdr:row>
      <xdr:rowOff>1447843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C2F09FE2-1188-42E3-91D1-3A46CA163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936965" y="23023286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2027464</xdr:colOff>
      <xdr:row>106</xdr:row>
      <xdr:rowOff>1129393</xdr:rowOff>
    </xdr:from>
    <xdr:to>
      <xdr:col>60</xdr:col>
      <xdr:colOff>2275149</xdr:colOff>
      <xdr:row>106</xdr:row>
      <xdr:rowOff>1434236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DFA27466-570E-4A56-B241-1BB9BFBF1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0" y="23009679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898071</xdr:colOff>
      <xdr:row>106</xdr:row>
      <xdr:rowOff>1088572</xdr:rowOff>
    </xdr:from>
    <xdr:to>
      <xdr:col>60</xdr:col>
      <xdr:colOff>1145756</xdr:colOff>
      <xdr:row>106</xdr:row>
      <xdr:rowOff>1393415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6BBE63AF-E055-4857-9F41-4C785CE97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37357" y="22968858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1510392</xdr:colOff>
      <xdr:row>106</xdr:row>
      <xdr:rowOff>517071</xdr:rowOff>
    </xdr:from>
    <xdr:to>
      <xdr:col>60</xdr:col>
      <xdr:colOff>1758077</xdr:colOff>
      <xdr:row>106</xdr:row>
      <xdr:rowOff>821914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07C2E914-9009-41CD-8AAD-7B446E19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49678" y="22397357"/>
          <a:ext cx="247685" cy="304843"/>
        </a:xfrm>
        <a:prstGeom prst="rect">
          <a:avLst/>
        </a:prstGeom>
      </xdr:spPr>
    </xdr:pic>
    <xdr:clientData/>
  </xdr:twoCellAnchor>
  <xdr:twoCellAnchor editAs="oneCell">
    <xdr:from>
      <xdr:col>60</xdr:col>
      <xdr:colOff>4830537</xdr:colOff>
      <xdr:row>106</xdr:row>
      <xdr:rowOff>462643</xdr:rowOff>
    </xdr:from>
    <xdr:to>
      <xdr:col>60</xdr:col>
      <xdr:colOff>4996375</xdr:colOff>
      <xdr:row>106</xdr:row>
      <xdr:rowOff>666751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8E38780C-344E-4E9D-AE92-5BEEACB3B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569823" y="22342929"/>
          <a:ext cx="165838" cy="204108"/>
        </a:xfrm>
        <a:prstGeom prst="rect">
          <a:avLst/>
        </a:prstGeom>
      </xdr:spPr>
    </xdr:pic>
    <xdr:clientData/>
  </xdr:twoCellAnchor>
  <xdr:twoCellAnchor editAs="oneCell">
    <xdr:from>
      <xdr:col>60</xdr:col>
      <xdr:colOff>4667249</xdr:colOff>
      <xdr:row>107</xdr:row>
      <xdr:rowOff>666749</xdr:rowOff>
    </xdr:from>
    <xdr:to>
      <xdr:col>60</xdr:col>
      <xdr:colOff>4799920</xdr:colOff>
      <xdr:row>107</xdr:row>
      <xdr:rowOff>830036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84F46A06-C999-45B5-8437-854A250DA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06535" y="2442482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3524250</xdr:colOff>
      <xdr:row>107</xdr:row>
      <xdr:rowOff>693965</xdr:rowOff>
    </xdr:from>
    <xdr:to>
      <xdr:col>60</xdr:col>
      <xdr:colOff>3656921</xdr:colOff>
      <xdr:row>107</xdr:row>
      <xdr:rowOff>857252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F63E4454-CEC6-4750-816F-BEC819355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263536" y="2445203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2981566</xdr:colOff>
      <xdr:row>107</xdr:row>
      <xdr:rowOff>1067761</xdr:rowOff>
    </xdr:from>
    <xdr:to>
      <xdr:col>60</xdr:col>
      <xdr:colOff>3114237</xdr:colOff>
      <xdr:row>107</xdr:row>
      <xdr:rowOff>1231048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EAB10FFF-4D6A-473D-A432-F932A089C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288625" y="2481302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4095749</xdr:colOff>
      <xdr:row>107</xdr:row>
      <xdr:rowOff>1061357</xdr:rowOff>
    </xdr:from>
    <xdr:to>
      <xdr:col>60</xdr:col>
      <xdr:colOff>4228420</xdr:colOff>
      <xdr:row>107</xdr:row>
      <xdr:rowOff>1224644</xdr:rowOff>
    </xdr:to>
    <xdr:pic>
      <xdr:nvPicPr>
        <xdr:cNvPr id="31" name="Afbeelding 30">
          <a:extLst>
            <a:ext uri="{FF2B5EF4-FFF2-40B4-BE49-F238E27FC236}">
              <a16:creationId xmlns:a16="http://schemas.microsoft.com/office/drawing/2014/main" id="{6BE44C85-F228-4875-9F7D-0AE6F4F5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35035" y="248194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2558143</xdr:colOff>
      <xdr:row>107</xdr:row>
      <xdr:rowOff>680358</xdr:rowOff>
    </xdr:from>
    <xdr:to>
      <xdr:col>60</xdr:col>
      <xdr:colOff>2690814</xdr:colOff>
      <xdr:row>107</xdr:row>
      <xdr:rowOff>843645</xdr:rowOff>
    </xdr:to>
    <xdr:pic>
      <xdr:nvPicPr>
        <xdr:cNvPr id="32" name="Afbeelding 31">
          <a:extLst>
            <a:ext uri="{FF2B5EF4-FFF2-40B4-BE49-F238E27FC236}">
              <a16:creationId xmlns:a16="http://schemas.microsoft.com/office/drawing/2014/main" id="{A7A5277F-A337-42EB-BDCC-253A329A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297429" y="2443842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1469571</xdr:colOff>
      <xdr:row>107</xdr:row>
      <xdr:rowOff>680357</xdr:rowOff>
    </xdr:from>
    <xdr:to>
      <xdr:col>60</xdr:col>
      <xdr:colOff>1602242</xdr:colOff>
      <xdr:row>107</xdr:row>
      <xdr:rowOff>843644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057162F4-357A-407A-92E3-670E8B6A9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08857" y="244384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2122714</xdr:colOff>
      <xdr:row>107</xdr:row>
      <xdr:rowOff>1061357</xdr:rowOff>
    </xdr:from>
    <xdr:to>
      <xdr:col>60</xdr:col>
      <xdr:colOff>2255385</xdr:colOff>
      <xdr:row>107</xdr:row>
      <xdr:rowOff>1224644</xdr:rowOff>
    </xdr:to>
    <xdr:pic>
      <xdr:nvPicPr>
        <xdr:cNvPr id="34" name="Afbeelding 33">
          <a:extLst>
            <a:ext uri="{FF2B5EF4-FFF2-40B4-BE49-F238E27FC236}">
              <a16:creationId xmlns:a16="http://schemas.microsoft.com/office/drawing/2014/main" id="{55E9BB12-4708-48A8-8D2F-E3762464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862000" y="2481942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340179</xdr:colOff>
      <xdr:row>107</xdr:row>
      <xdr:rowOff>666750</xdr:rowOff>
    </xdr:from>
    <xdr:to>
      <xdr:col>60</xdr:col>
      <xdr:colOff>472850</xdr:colOff>
      <xdr:row>107</xdr:row>
      <xdr:rowOff>830037</xdr:rowOff>
    </xdr:to>
    <xdr:pic>
      <xdr:nvPicPr>
        <xdr:cNvPr id="35" name="Afbeelding 34">
          <a:extLst>
            <a:ext uri="{FF2B5EF4-FFF2-40B4-BE49-F238E27FC236}">
              <a16:creationId xmlns:a16="http://schemas.microsoft.com/office/drawing/2014/main" id="{4EAA508C-7BBA-4F28-BC12-F9439FD7C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79465" y="2442482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952500</xdr:colOff>
      <xdr:row>107</xdr:row>
      <xdr:rowOff>1056555</xdr:rowOff>
    </xdr:from>
    <xdr:to>
      <xdr:col>60</xdr:col>
      <xdr:colOff>1085171</xdr:colOff>
      <xdr:row>107</xdr:row>
      <xdr:rowOff>1219842</xdr:rowOff>
    </xdr:to>
    <xdr:pic>
      <xdr:nvPicPr>
        <xdr:cNvPr id="36" name="Afbeelding 35">
          <a:extLst>
            <a:ext uri="{FF2B5EF4-FFF2-40B4-BE49-F238E27FC236}">
              <a16:creationId xmlns:a16="http://schemas.microsoft.com/office/drawing/2014/main" id="{768F0A9F-A71C-4CBB-ABA5-DA248EF9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59559" y="2480182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4299856</xdr:colOff>
      <xdr:row>108</xdr:row>
      <xdr:rowOff>1211035</xdr:rowOff>
    </xdr:from>
    <xdr:to>
      <xdr:col>60</xdr:col>
      <xdr:colOff>4432527</xdr:colOff>
      <xdr:row>108</xdr:row>
      <xdr:rowOff>1374322</xdr:rowOff>
    </xdr:to>
    <xdr:pic>
      <xdr:nvPicPr>
        <xdr:cNvPr id="37" name="Afbeelding 36">
          <a:extLst>
            <a:ext uri="{FF2B5EF4-FFF2-40B4-BE49-F238E27FC236}">
              <a16:creationId xmlns:a16="http://schemas.microsoft.com/office/drawing/2014/main" id="{DB333BD9-E8A5-4BEF-A1B5-2008BAA39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39142" y="2684689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4735285</xdr:colOff>
      <xdr:row>108</xdr:row>
      <xdr:rowOff>489857</xdr:rowOff>
    </xdr:from>
    <xdr:to>
      <xdr:col>60</xdr:col>
      <xdr:colOff>4867956</xdr:colOff>
      <xdr:row>108</xdr:row>
      <xdr:rowOff>653144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D8C390FD-9634-4248-8CCF-B3B26E594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74571" y="26125714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312963</xdr:colOff>
      <xdr:row>111</xdr:row>
      <xdr:rowOff>530679</xdr:rowOff>
    </xdr:from>
    <xdr:to>
      <xdr:col>60</xdr:col>
      <xdr:colOff>445634</xdr:colOff>
      <xdr:row>111</xdr:row>
      <xdr:rowOff>693966</xdr:rowOff>
    </xdr:to>
    <xdr:pic>
      <xdr:nvPicPr>
        <xdr:cNvPr id="43" name="Afbeelding 42">
          <a:extLst>
            <a:ext uri="{FF2B5EF4-FFF2-40B4-BE49-F238E27FC236}">
              <a16:creationId xmlns:a16="http://schemas.microsoft.com/office/drawing/2014/main" id="{61B255EA-EC61-42F3-80A3-37A54F33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52249" y="3179989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1483178</xdr:colOff>
      <xdr:row>111</xdr:row>
      <xdr:rowOff>585107</xdr:rowOff>
    </xdr:from>
    <xdr:to>
      <xdr:col>60</xdr:col>
      <xdr:colOff>1615849</xdr:colOff>
      <xdr:row>111</xdr:row>
      <xdr:rowOff>748394</xdr:rowOff>
    </xdr:to>
    <xdr:pic>
      <xdr:nvPicPr>
        <xdr:cNvPr id="44" name="Afbeelding 43">
          <a:extLst>
            <a:ext uri="{FF2B5EF4-FFF2-40B4-BE49-F238E27FC236}">
              <a16:creationId xmlns:a16="http://schemas.microsoft.com/office/drawing/2014/main" id="{15274544-5FF4-498C-8768-2DFDBBDF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222464" y="3185432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911678</xdr:colOff>
      <xdr:row>111</xdr:row>
      <xdr:rowOff>1129393</xdr:rowOff>
    </xdr:from>
    <xdr:to>
      <xdr:col>60</xdr:col>
      <xdr:colOff>1044349</xdr:colOff>
      <xdr:row>111</xdr:row>
      <xdr:rowOff>1292680</xdr:rowOff>
    </xdr:to>
    <xdr:pic>
      <xdr:nvPicPr>
        <xdr:cNvPr id="45" name="Afbeelding 44">
          <a:extLst>
            <a:ext uri="{FF2B5EF4-FFF2-40B4-BE49-F238E27FC236}">
              <a16:creationId xmlns:a16="http://schemas.microsoft.com/office/drawing/2014/main" id="{4166772C-CDA9-449B-97B6-FAD6F156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50964" y="323986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3483428</xdr:colOff>
      <xdr:row>111</xdr:row>
      <xdr:rowOff>530678</xdr:rowOff>
    </xdr:from>
    <xdr:to>
      <xdr:col>60</xdr:col>
      <xdr:colOff>3616099</xdr:colOff>
      <xdr:row>111</xdr:row>
      <xdr:rowOff>693965</xdr:rowOff>
    </xdr:to>
    <xdr:pic>
      <xdr:nvPicPr>
        <xdr:cNvPr id="46" name="Afbeelding 45">
          <a:extLst>
            <a:ext uri="{FF2B5EF4-FFF2-40B4-BE49-F238E27FC236}">
              <a16:creationId xmlns:a16="http://schemas.microsoft.com/office/drawing/2014/main" id="{71715C0F-8337-46EB-AFAC-1BB16A67C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222714" y="31799892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4735285</xdr:colOff>
      <xdr:row>111</xdr:row>
      <xdr:rowOff>557892</xdr:rowOff>
    </xdr:from>
    <xdr:to>
      <xdr:col>60</xdr:col>
      <xdr:colOff>4867956</xdr:colOff>
      <xdr:row>111</xdr:row>
      <xdr:rowOff>721179</xdr:rowOff>
    </xdr:to>
    <xdr:pic>
      <xdr:nvPicPr>
        <xdr:cNvPr id="47" name="Afbeelding 46">
          <a:extLst>
            <a:ext uri="{FF2B5EF4-FFF2-40B4-BE49-F238E27FC236}">
              <a16:creationId xmlns:a16="http://schemas.microsoft.com/office/drawing/2014/main" id="{683DC600-2F69-4C19-B3DB-71256D76D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74571" y="3182710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4109357</xdr:colOff>
      <xdr:row>111</xdr:row>
      <xdr:rowOff>1102179</xdr:rowOff>
    </xdr:from>
    <xdr:to>
      <xdr:col>60</xdr:col>
      <xdr:colOff>4242028</xdr:colOff>
      <xdr:row>111</xdr:row>
      <xdr:rowOff>1265466</xdr:rowOff>
    </xdr:to>
    <xdr:pic>
      <xdr:nvPicPr>
        <xdr:cNvPr id="48" name="Afbeelding 47">
          <a:extLst>
            <a:ext uri="{FF2B5EF4-FFF2-40B4-BE49-F238E27FC236}">
              <a16:creationId xmlns:a16="http://schemas.microsoft.com/office/drawing/2014/main" id="{20E06591-09DF-4260-B9C0-F9A82071A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848643" y="32371393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326571</xdr:colOff>
      <xdr:row>112</xdr:row>
      <xdr:rowOff>680357</xdr:rowOff>
    </xdr:from>
    <xdr:to>
      <xdr:col>60</xdr:col>
      <xdr:colOff>459242</xdr:colOff>
      <xdr:row>112</xdr:row>
      <xdr:rowOff>843644</xdr:rowOff>
    </xdr:to>
    <xdr:pic>
      <xdr:nvPicPr>
        <xdr:cNvPr id="49" name="Afbeelding 48">
          <a:extLst>
            <a:ext uri="{FF2B5EF4-FFF2-40B4-BE49-F238E27FC236}">
              <a16:creationId xmlns:a16="http://schemas.microsoft.com/office/drawing/2014/main" id="{17135A34-FCF2-4D4B-9AE7-9665AF207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065857" y="3382735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1319893</xdr:colOff>
      <xdr:row>112</xdr:row>
      <xdr:rowOff>666750</xdr:rowOff>
    </xdr:from>
    <xdr:to>
      <xdr:col>60</xdr:col>
      <xdr:colOff>1452564</xdr:colOff>
      <xdr:row>112</xdr:row>
      <xdr:rowOff>830037</xdr:rowOff>
    </xdr:to>
    <xdr:pic>
      <xdr:nvPicPr>
        <xdr:cNvPr id="50" name="Afbeelding 49">
          <a:extLst>
            <a:ext uri="{FF2B5EF4-FFF2-40B4-BE49-F238E27FC236}">
              <a16:creationId xmlns:a16="http://schemas.microsoft.com/office/drawing/2014/main" id="{FC9DD819-F2D5-4945-87A5-9B1DD0F81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059179" y="3381375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843643</xdr:colOff>
      <xdr:row>112</xdr:row>
      <xdr:rowOff>1061357</xdr:rowOff>
    </xdr:from>
    <xdr:to>
      <xdr:col>60</xdr:col>
      <xdr:colOff>976314</xdr:colOff>
      <xdr:row>112</xdr:row>
      <xdr:rowOff>1224644</xdr:rowOff>
    </xdr:to>
    <xdr:pic>
      <xdr:nvPicPr>
        <xdr:cNvPr id="51" name="Afbeelding 50">
          <a:extLst>
            <a:ext uri="{FF2B5EF4-FFF2-40B4-BE49-F238E27FC236}">
              <a16:creationId xmlns:a16="http://schemas.microsoft.com/office/drawing/2014/main" id="{CD44402D-346B-443A-A828-115E5CE7F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582929" y="3420835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2177142</xdr:colOff>
      <xdr:row>112</xdr:row>
      <xdr:rowOff>666750</xdr:rowOff>
    </xdr:from>
    <xdr:to>
      <xdr:col>60</xdr:col>
      <xdr:colOff>2309813</xdr:colOff>
      <xdr:row>112</xdr:row>
      <xdr:rowOff>830037</xdr:rowOff>
    </xdr:to>
    <xdr:pic>
      <xdr:nvPicPr>
        <xdr:cNvPr id="52" name="Afbeelding 51">
          <a:extLst>
            <a:ext uri="{FF2B5EF4-FFF2-40B4-BE49-F238E27FC236}">
              <a16:creationId xmlns:a16="http://schemas.microsoft.com/office/drawing/2014/main" id="{D460A637-E608-4A5A-B114-1A912F42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916428" y="3381375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1714499</xdr:colOff>
      <xdr:row>112</xdr:row>
      <xdr:rowOff>1047750</xdr:rowOff>
    </xdr:from>
    <xdr:to>
      <xdr:col>60</xdr:col>
      <xdr:colOff>1847170</xdr:colOff>
      <xdr:row>112</xdr:row>
      <xdr:rowOff>1211037</xdr:rowOff>
    </xdr:to>
    <xdr:pic>
      <xdr:nvPicPr>
        <xdr:cNvPr id="53" name="Afbeelding 52">
          <a:extLst>
            <a:ext uri="{FF2B5EF4-FFF2-40B4-BE49-F238E27FC236}">
              <a16:creationId xmlns:a16="http://schemas.microsoft.com/office/drawing/2014/main" id="{7EFF0A09-A3F0-406D-BFA6-92EC5C32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453785" y="3419475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2871107</xdr:colOff>
      <xdr:row>112</xdr:row>
      <xdr:rowOff>666751</xdr:rowOff>
    </xdr:from>
    <xdr:to>
      <xdr:col>60</xdr:col>
      <xdr:colOff>3003778</xdr:colOff>
      <xdr:row>112</xdr:row>
      <xdr:rowOff>830038</xdr:rowOff>
    </xdr:to>
    <xdr:pic>
      <xdr:nvPicPr>
        <xdr:cNvPr id="54" name="Afbeelding 53">
          <a:extLst>
            <a:ext uri="{FF2B5EF4-FFF2-40B4-BE49-F238E27FC236}">
              <a16:creationId xmlns:a16="http://schemas.microsoft.com/office/drawing/2014/main" id="{6A346BD3-68FF-47EE-8C5E-574A20C95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610393" y="33813751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3360964</xdr:colOff>
      <xdr:row>112</xdr:row>
      <xdr:rowOff>1074964</xdr:rowOff>
    </xdr:from>
    <xdr:to>
      <xdr:col>60</xdr:col>
      <xdr:colOff>3493635</xdr:colOff>
      <xdr:row>112</xdr:row>
      <xdr:rowOff>1238251</xdr:rowOff>
    </xdr:to>
    <xdr:pic>
      <xdr:nvPicPr>
        <xdr:cNvPr id="55" name="Afbeelding 54">
          <a:extLst>
            <a:ext uri="{FF2B5EF4-FFF2-40B4-BE49-F238E27FC236}">
              <a16:creationId xmlns:a16="http://schemas.microsoft.com/office/drawing/2014/main" id="{FA159095-6989-4261-A756-54B6D7E0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00250" y="34221964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3782785</xdr:colOff>
      <xdr:row>112</xdr:row>
      <xdr:rowOff>639536</xdr:rowOff>
    </xdr:from>
    <xdr:to>
      <xdr:col>60</xdr:col>
      <xdr:colOff>3915456</xdr:colOff>
      <xdr:row>112</xdr:row>
      <xdr:rowOff>802823</xdr:rowOff>
    </xdr:to>
    <xdr:pic>
      <xdr:nvPicPr>
        <xdr:cNvPr id="56" name="Afbeelding 55">
          <a:extLst>
            <a:ext uri="{FF2B5EF4-FFF2-40B4-BE49-F238E27FC236}">
              <a16:creationId xmlns:a16="http://schemas.microsoft.com/office/drawing/2014/main" id="{71976A69-7A2A-4B1D-B312-C063B0410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22071" y="33786536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4163785</xdr:colOff>
      <xdr:row>112</xdr:row>
      <xdr:rowOff>1061358</xdr:rowOff>
    </xdr:from>
    <xdr:to>
      <xdr:col>60</xdr:col>
      <xdr:colOff>4296456</xdr:colOff>
      <xdr:row>112</xdr:row>
      <xdr:rowOff>1224645</xdr:rowOff>
    </xdr:to>
    <xdr:pic>
      <xdr:nvPicPr>
        <xdr:cNvPr id="57" name="Afbeelding 56">
          <a:extLst>
            <a:ext uri="{FF2B5EF4-FFF2-40B4-BE49-F238E27FC236}">
              <a16:creationId xmlns:a16="http://schemas.microsoft.com/office/drawing/2014/main" id="{84A378C0-BFBB-4E71-976E-FC22B76A8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03071" y="3420835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4667249</xdr:colOff>
      <xdr:row>112</xdr:row>
      <xdr:rowOff>680357</xdr:rowOff>
    </xdr:from>
    <xdr:to>
      <xdr:col>60</xdr:col>
      <xdr:colOff>4799920</xdr:colOff>
      <xdr:row>112</xdr:row>
      <xdr:rowOff>843644</xdr:rowOff>
    </xdr:to>
    <xdr:pic>
      <xdr:nvPicPr>
        <xdr:cNvPr id="58" name="Afbeelding 57">
          <a:extLst>
            <a:ext uri="{FF2B5EF4-FFF2-40B4-BE49-F238E27FC236}">
              <a16:creationId xmlns:a16="http://schemas.microsoft.com/office/drawing/2014/main" id="{C2BF8BA5-62E9-46C2-BEBD-3A4A00A2B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406535" y="3382735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952500</xdr:colOff>
      <xdr:row>113</xdr:row>
      <xdr:rowOff>1197428</xdr:rowOff>
    </xdr:from>
    <xdr:to>
      <xdr:col>60</xdr:col>
      <xdr:colOff>1085171</xdr:colOff>
      <xdr:row>113</xdr:row>
      <xdr:rowOff>1360715</xdr:rowOff>
    </xdr:to>
    <xdr:pic>
      <xdr:nvPicPr>
        <xdr:cNvPr id="59" name="Afbeelding 58">
          <a:extLst>
            <a:ext uri="{FF2B5EF4-FFF2-40B4-BE49-F238E27FC236}">
              <a16:creationId xmlns:a16="http://schemas.microsoft.com/office/drawing/2014/main" id="{2FF62DCB-BF34-4D1C-B477-3C00FD938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91786" y="36222214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4054928</xdr:colOff>
      <xdr:row>113</xdr:row>
      <xdr:rowOff>1197428</xdr:rowOff>
    </xdr:from>
    <xdr:to>
      <xdr:col>60</xdr:col>
      <xdr:colOff>4187599</xdr:colOff>
      <xdr:row>113</xdr:row>
      <xdr:rowOff>1360715</xdr:rowOff>
    </xdr:to>
    <xdr:pic>
      <xdr:nvPicPr>
        <xdr:cNvPr id="60" name="Afbeelding 59">
          <a:extLst>
            <a:ext uri="{FF2B5EF4-FFF2-40B4-BE49-F238E27FC236}">
              <a16:creationId xmlns:a16="http://schemas.microsoft.com/office/drawing/2014/main" id="{41F0FABA-4A93-43F1-8053-388466E56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94214" y="36222214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115</xdr:row>
      <xdr:rowOff>0</xdr:rowOff>
    </xdr:from>
    <xdr:to>
      <xdr:col>60</xdr:col>
      <xdr:colOff>5108033</xdr:colOff>
      <xdr:row>115</xdr:row>
      <xdr:rowOff>1860176</xdr:rowOff>
    </xdr:to>
    <xdr:pic>
      <xdr:nvPicPr>
        <xdr:cNvPr id="68" name="Afbeelding 67">
          <a:extLst>
            <a:ext uri="{FF2B5EF4-FFF2-40B4-BE49-F238E27FC236}">
              <a16:creationId xmlns:a16="http://schemas.microsoft.com/office/drawing/2014/main" id="{980F7531-4F98-491E-A6D1-E0358881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307059" y="38716324"/>
          <a:ext cx="5108033" cy="1860176"/>
        </a:xfrm>
        <a:prstGeom prst="rect">
          <a:avLst/>
        </a:prstGeom>
      </xdr:spPr>
    </xdr:pic>
    <xdr:clientData/>
  </xdr:twoCellAnchor>
  <xdr:twoCellAnchor editAs="oneCell">
    <xdr:from>
      <xdr:col>60</xdr:col>
      <xdr:colOff>1564821</xdr:colOff>
      <xdr:row>115</xdr:row>
      <xdr:rowOff>612322</xdr:rowOff>
    </xdr:from>
    <xdr:to>
      <xdr:col>60</xdr:col>
      <xdr:colOff>1697492</xdr:colOff>
      <xdr:row>115</xdr:row>
      <xdr:rowOff>775609</xdr:rowOff>
    </xdr:to>
    <xdr:pic>
      <xdr:nvPicPr>
        <xdr:cNvPr id="69" name="Afbeelding 68">
          <a:extLst>
            <a:ext uri="{FF2B5EF4-FFF2-40B4-BE49-F238E27FC236}">
              <a16:creationId xmlns:a16="http://schemas.microsoft.com/office/drawing/2014/main" id="{0B700147-72B8-4ACC-9DF6-181A88C4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04107" y="39392679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3483429</xdr:colOff>
      <xdr:row>115</xdr:row>
      <xdr:rowOff>612321</xdr:rowOff>
    </xdr:from>
    <xdr:to>
      <xdr:col>60</xdr:col>
      <xdr:colOff>3616100</xdr:colOff>
      <xdr:row>115</xdr:row>
      <xdr:rowOff>775608</xdr:rowOff>
    </xdr:to>
    <xdr:pic>
      <xdr:nvPicPr>
        <xdr:cNvPr id="70" name="Afbeelding 69">
          <a:extLst>
            <a:ext uri="{FF2B5EF4-FFF2-40B4-BE49-F238E27FC236}">
              <a16:creationId xmlns:a16="http://schemas.microsoft.com/office/drawing/2014/main" id="{0D35A7EE-E162-49C6-BBF0-076A7103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222715" y="39392678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4041321</xdr:colOff>
      <xdr:row>115</xdr:row>
      <xdr:rowOff>1047750</xdr:rowOff>
    </xdr:from>
    <xdr:to>
      <xdr:col>60</xdr:col>
      <xdr:colOff>4173992</xdr:colOff>
      <xdr:row>115</xdr:row>
      <xdr:rowOff>1211037</xdr:rowOff>
    </xdr:to>
    <xdr:pic>
      <xdr:nvPicPr>
        <xdr:cNvPr id="71" name="Afbeelding 70">
          <a:extLst>
            <a:ext uri="{FF2B5EF4-FFF2-40B4-BE49-F238E27FC236}">
              <a16:creationId xmlns:a16="http://schemas.microsoft.com/office/drawing/2014/main" id="{A040C0DE-477C-41E0-9C77-9D04619F5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80607" y="39828107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1020536</xdr:colOff>
      <xdr:row>115</xdr:row>
      <xdr:rowOff>1034143</xdr:rowOff>
    </xdr:from>
    <xdr:to>
      <xdr:col>60</xdr:col>
      <xdr:colOff>1153207</xdr:colOff>
      <xdr:row>115</xdr:row>
      <xdr:rowOff>1197430</xdr:rowOff>
    </xdr:to>
    <xdr:pic>
      <xdr:nvPicPr>
        <xdr:cNvPr id="72" name="Afbeelding 71">
          <a:extLst>
            <a:ext uri="{FF2B5EF4-FFF2-40B4-BE49-F238E27FC236}">
              <a16:creationId xmlns:a16="http://schemas.microsoft.com/office/drawing/2014/main" id="{C05FE513-DE38-4F18-9F1D-AF02E55A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59822" y="39814500"/>
          <a:ext cx="132671" cy="163287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113</xdr:row>
      <xdr:rowOff>56676</xdr:rowOff>
    </xdr:from>
    <xdr:to>
      <xdr:col>61</xdr:col>
      <xdr:colOff>1866</xdr:colOff>
      <xdr:row>114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7F6484F-AA42-4A0F-867F-7EB0D63C7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6307059" y="35030235"/>
          <a:ext cx="5177116" cy="1814706"/>
        </a:xfrm>
        <a:prstGeom prst="rect">
          <a:avLst/>
        </a:prstGeom>
      </xdr:spPr>
    </xdr:pic>
    <xdr:clientData/>
  </xdr:twoCellAnchor>
  <xdr:twoCellAnchor editAs="oneCell">
    <xdr:from>
      <xdr:col>59</xdr:col>
      <xdr:colOff>593912</xdr:colOff>
      <xdr:row>108</xdr:row>
      <xdr:rowOff>53185</xdr:rowOff>
    </xdr:from>
    <xdr:to>
      <xdr:col>60</xdr:col>
      <xdr:colOff>5165910</xdr:colOff>
      <xdr:row>109</xdr:row>
      <xdr:rowOff>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255B7D04-58CE-4EB3-B449-26320F75A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295853" y="25669832"/>
          <a:ext cx="5177116" cy="1818197"/>
        </a:xfrm>
        <a:prstGeom prst="rect">
          <a:avLst/>
        </a:prstGeom>
      </xdr:spPr>
    </xdr:pic>
    <xdr:clientData/>
  </xdr:twoCellAnchor>
  <xdr:twoCellAnchor editAs="oneCell">
    <xdr:from>
      <xdr:col>60</xdr:col>
      <xdr:colOff>123263</xdr:colOff>
      <xdr:row>115</xdr:row>
      <xdr:rowOff>1680882</xdr:rowOff>
    </xdr:from>
    <xdr:to>
      <xdr:col>60</xdr:col>
      <xdr:colOff>5065058</xdr:colOff>
      <xdr:row>116</xdr:row>
      <xdr:rowOff>179293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F607869-7C87-4DB4-973E-67455A68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430322" y="40397206"/>
          <a:ext cx="4941795" cy="369793"/>
        </a:xfrm>
        <a:prstGeom prst="rect">
          <a:avLst/>
        </a:prstGeom>
      </xdr:spPr>
    </xdr:pic>
    <xdr:clientData/>
  </xdr:twoCellAnchor>
  <xdr:twoCellAnchor editAs="oneCell">
    <xdr:from>
      <xdr:col>60</xdr:col>
      <xdr:colOff>4370295</xdr:colOff>
      <xdr:row>108</xdr:row>
      <xdr:rowOff>1221443</xdr:rowOff>
    </xdr:from>
    <xdr:to>
      <xdr:col>60</xdr:col>
      <xdr:colOff>4506867</xdr:colOff>
      <xdr:row>108</xdr:row>
      <xdr:rowOff>1389531</xdr:rowOff>
    </xdr:to>
    <xdr:pic>
      <xdr:nvPicPr>
        <xdr:cNvPr id="81" name="Afbeelding 80">
          <a:extLst>
            <a:ext uri="{FF2B5EF4-FFF2-40B4-BE49-F238E27FC236}">
              <a16:creationId xmlns:a16="http://schemas.microsoft.com/office/drawing/2014/main" id="{1C7A71B1-CCF8-4235-AA6A-0FFB3E48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677354" y="26838090"/>
          <a:ext cx="136572" cy="168088"/>
        </a:xfrm>
        <a:prstGeom prst="rect">
          <a:avLst/>
        </a:prstGeom>
      </xdr:spPr>
    </xdr:pic>
    <xdr:clientData/>
  </xdr:twoCellAnchor>
  <xdr:twoCellAnchor editAs="oneCell">
    <xdr:from>
      <xdr:col>60</xdr:col>
      <xdr:colOff>4706470</xdr:colOff>
      <xdr:row>107</xdr:row>
      <xdr:rowOff>672354</xdr:rowOff>
    </xdr:from>
    <xdr:to>
      <xdr:col>60</xdr:col>
      <xdr:colOff>4861251</xdr:colOff>
      <xdr:row>107</xdr:row>
      <xdr:rowOff>862854</xdr:rowOff>
    </xdr:to>
    <xdr:pic>
      <xdr:nvPicPr>
        <xdr:cNvPr id="83" name="Afbeelding 82">
          <a:extLst>
            <a:ext uri="{FF2B5EF4-FFF2-40B4-BE49-F238E27FC236}">
              <a16:creationId xmlns:a16="http://schemas.microsoft.com/office/drawing/2014/main" id="{4B6EBD6B-DF08-4ABF-944E-14EE4EF01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13529" y="24417619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4740088</xdr:colOff>
      <xdr:row>108</xdr:row>
      <xdr:rowOff>560293</xdr:rowOff>
    </xdr:from>
    <xdr:to>
      <xdr:col>60</xdr:col>
      <xdr:colOff>4840941</xdr:colOff>
      <xdr:row>108</xdr:row>
      <xdr:rowOff>684420</xdr:rowOff>
    </xdr:to>
    <xdr:pic>
      <xdr:nvPicPr>
        <xdr:cNvPr id="84" name="Afbeelding 83">
          <a:extLst>
            <a:ext uri="{FF2B5EF4-FFF2-40B4-BE49-F238E27FC236}">
              <a16:creationId xmlns:a16="http://schemas.microsoft.com/office/drawing/2014/main" id="{793D4771-2501-453D-BB0F-37412E79D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047147" y="26176940"/>
          <a:ext cx="100853" cy="124127"/>
        </a:xfrm>
        <a:prstGeom prst="rect">
          <a:avLst/>
        </a:prstGeom>
      </xdr:spPr>
    </xdr:pic>
    <xdr:clientData/>
  </xdr:twoCellAnchor>
  <xdr:twoCellAnchor editAs="oneCell">
    <xdr:from>
      <xdr:col>60</xdr:col>
      <xdr:colOff>369794</xdr:colOff>
      <xdr:row>107</xdr:row>
      <xdr:rowOff>649941</xdr:rowOff>
    </xdr:from>
    <xdr:to>
      <xdr:col>60</xdr:col>
      <xdr:colOff>524575</xdr:colOff>
      <xdr:row>107</xdr:row>
      <xdr:rowOff>840441</xdr:rowOff>
    </xdr:to>
    <xdr:pic>
      <xdr:nvPicPr>
        <xdr:cNvPr id="85" name="Afbeelding 84">
          <a:extLst>
            <a:ext uri="{FF2B5EF4-FFF2-40B4-BE49-F238E27FC236}">
              <a16:creationId xmlns:a16="http://schemas.microsoft.com/office/drawing/2014/main" id="{656AA408-C75E-455C-BB52-51F794ECD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676853" y="24395206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3406588</xdr:colOff>
      <xdr:row>110</xdr:row>
      <xdr:rowOff>649941</xdr:rowOff>
    </xdr:from>
    <xdr:to>
      <xdr:col>60</xdr:col>
      <xdr:colOff>3561369</xdr:colOff>
      <xdr:row>110</xdr:row>
      <xdr:rowOff>840441</xdr:rowOff>
    </xdr:to>
    <xdr:pic>
      <xdr:nvPicPr>
        <xdr:cNvPr id="88" name="Afbeelding 87">
          <a:extLst>
            <a:ext uri="{FF2B5EF4-FFF2-40B4-BE49-F238E27FC236}">
              <a16:creationId xmlns:a16="http://schemas.microsoft.com/office/drawing/2014/main" id="{25AA73EA-243D-45FD-B476-1D42128E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713647" y="30009353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1053353</xdr:colOff>
      <xdr:row>113</xdr:row>
      <xdr:rowOff>1199029</xdr:rowOff>
    </xdr:from>
    <xdr:to>
      <xdr:col>60</xdr:col>
      <xdr:colOff>1208134</xdr:colOff>
      <xdr:row>113</xdr:row>
      <xdr:rowOff>1389529</xdr:rowOff>
    </xdr:to>
    <xdr:pic>
      <xdr:nvPicPr>
        <xdr:cNvPr id="90" name="Afbeelding 89">
          <a:extLst>
            <a:ext uri="{FF2B5EF4-FFF2-40B4-BE49-F238E27FC236}">
              <a16:creationId xmlns:a16="http://schemas.microsoft.com/office/drawing/2014/main" id="{B44D82D0-06D0-441E-ACB5-9E71DC200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360412" y="36172588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3910853</xdr:colOff>
      <xdr:row>113</xdr:row>
      <xdr:rowOff>1199030</xdr:rowOff>
    </xdr:from>
    <xdr:to>
      <xdr:col>60</xdr:col>
      <xdr:colOff>4065634</xdr:colOff>
      <xdr:row>113</xdr:row>
      <xdr:rowOff>1389530</xdr:rowOff>
    </xdr:to>
    <xdr:pic>
      <xdr:nvPicPr>
        <xdr:cNvPr id="91" name="Afbeelding 90">
          <a:extLst>
            <a:ext uri="{FF2B5EF4-FFF2-40B4-BE49-F238E27FC236}">
              <a16:creationId xmlns:a16="http://schemas.microsoft.com/office/drawing/2014/main" id="{5A7CFA24-8C03-4DAE-A9DE-FB4B9D823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217912" y="36172589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4022912</xdr:colOff>
      <xdr:row>115</xdr:row>
      <xdr:rowOff>1019735</xdr:rowOff>
    </xdr:from>
    <xdr:to>
      <xdr:col>60</xdr:col>
      <xdr:colOff>4177693</xdr:colOff>
      <xdr:row>115</xdr:row>
      <xdr:rowOff>1210235</xdr:rowOff>
    </xdr:to>
    <xdr:pic>
      <xdr:nvPicPr>
        <xdr:cNvPr id="92" name="Afbeelding 91">
          <a:extLst>
            <a:ext uri="{FF2B5EF4-FFF2-40B4-BE49-F238E27FC236}">
              <a16:creationId xmlns:a16="http://schemas.microsoft.com/office/drawing/2014/main" id="{6140866B-0F13-45E3-A3BB-DBB9E842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329971" y="39736059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1</xdr:colOff>
      <xdr:row>110</xdr:row>
      <xdr:rowOff>0</xdr:rowOff>
    </xdr:from>
    <xdr:to>
      <xdr:col>60</xdr:col>
      <xdr:colOff>5121089</xdr:colOff>
      <xdr:row>110</xdr:row>
      <xdr:rowOff>1860527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3682EF6-E4A1-49AE-8106-684FC9557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6307060" y="29359412"/>
          <a:ext cx="5121088" cy="1860527"/>
        </a:xfrm>
        <a:prstGeom prst="rect">
          <a:avLst/>
        </a:prstGeom>
      </xdr:spPr>
    </xdr:pic>
    <xdr:clientData/>
  </xdr:twoCellAnchor>
  <xdr:twoCellAnchor editAs="oneCell">
    <xdr:from>
      <xdr:col>60</xdr:col>
      <xdr:colOff>974912</xdr:colOff>
      <xdr:row>110</xdr:row>
      <xdr:rowOff>1019735</xdr:rowOff>
    </xdr:from>
    <xdr:to>
      <xdr:col>60</xdr:col>
      <xdr:colOff>1129693</xdr:colOff>
      <xdr:row>110</xdr:row>
      <xdr:rowOff>1210235</xdr:rowOff>
    </xdr:to>
    <xdr:pic>
      <xdr:nvPicPr>
        <xdr:cNvPr id="94" name="Afbeelding 93">
          <a:extLst>
            <a:ext uri="{FF2B5EF4-FFF2-40B4-BE49-F238E27FC236}">
              <a16:creationId xmlns:a16="http://schemas.microsoft.com/office/drawing/2014/main" id="{2D745BE3-F4C1-444F-95ED-2917978B0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281971" y="30379147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1485900</xdr:colOff>
      <xdr:row>110</xdr:row>
      <xdr:rowOff>645458</xdr:rowOff>
    </xdr:from>
    <xdr:to>
      <xdr:col>60</xdr:col>
      <xdr:colOff>1640681</xdr:colOff>
      <xdr:row>110</xdr:row>
      <xdr:rowOff>835958</xdr:rowOff>
    </xdr:to>
    <xdr:pic>
      <xdr:nvPicPr>
        <xdr:cNvPr id="95" name="Afbeelding 94">
          <a:extLst>
            <a:ext uri="{FF2B5EF4-FFF2-40B4-BE49-F238E27FC236}">
              <a16:creationId xmlns:a16="http://schemas.microsoft.com/office/drawing/2014/main" id="{C90A2AF2-72A4-4BD7-973E-0D6D8021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92959" y="3000487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2041712</xdr:colOff>
      <xdr:row>110</xdr:row>
      <xdr:rowOff>1021975</xdr:rowOff>
    </xdr:from>
    <xdr:to>
      <xdr:col>60</xdr:col>
      <xdr:colOff>2196493</xdr:colOff>
      <xdr:row>110</xdr:row>
      <xdr:rowOff>1212475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BD5DB587-E117-45BE-8567-8A5A75C7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348771" y="30381387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2631141</xdr:colOff>
      <xdr:row>110</xdr:row>
      <xdr:rowOff>636493</xdr:rowOff>
    </xdr:from>
    <xdr:to>
      <xdr:col>60</xdr:col>
      <xdr:colOff>2785922</xdr:colOff>
      <xdr:row>110</xdr:row>
      <xdr:rowOff>826993</xdr:rowOff>
    </xdr:to>
    <xdr:pic>
      <xdr:nvPicPr>
        <xdr:cNvPr id="97" name="Afbeelding 96">
          <a:extLst>
            <a:ext uri="{FF2B5EF4-FFF2-40B4-BE49-F238E27FC236}">
              <a16:creationId xmlns:a16="http://schemas.microsoft.com/office/drawing/2014/main" id="{F2D2E6D8-1BC0-468A-9D02-61675837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938200" y="29995905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3130925</xdr:colOff>
      <xdr:row>110</xdr:row>
      <xdr:rowOff>1021815</xdr:rowOff>
    </xdr:from>
    <xdr:to>
      <xdr:col>60</xdr:col>
      <xdr:colOff>3285706</xdr:colOff>
      <xdr:row>110</xdr:row>
      <xdr:rowOff>1212315</xdr:rowOff>
    </xdr:to>
    <xdr:pic>
      <xdr:nvPicPr>
        <xdr:cNvPr id="98" name="Afbeelding 97">
          <a:extLst>
            <a:ext uri="{FF2B5EF4-FFF2-40B4-BE49-F238E27FC236}">
              <a16:creationId xmlns:a16="http://schemas.microsoft.com/office/drawing/2014/main" id="{8CC6CFEC-DD78-4A50-8543-94FF42F32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870211" y="30413244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3776383</xdr:colOff>
      <xdr:row>110</xdr:row>
      <xdr:rowOff>627528</xdr:rowOff>
    </xdr:from>
    <xdr:to>
      <xdr:col>60</xdr:col>
      <xdr:colOff>3931164</xdr:colOff>
      <xdr:row>110</xdr:row>
      <xdr:rowOff>818028</xdr:rowOff>
    </xdr:to>
    <xdr:pic>
      <xdr:nvPicPr>
        <xdr:cNvPr id="99" name="Afbeelding 98">
          <a:extLst>
            <a:ext uri="{FF2B5EF4-FFF2-40B4-BE49-F238E27FC236}">
              <a16:creationId xmlns:a16="http://schemas.microsoft.com/office/drawing/2014/main" id="{0F481B7A-18BE-473A-9FE2-ED936C85E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83442" y="2998694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4253754</xdr:colOff>
      <xdr:row>110</xdr:row>
      <xdr:rowOff>1026458</xdr:rowOff>
    </xdr:from>
    <xdr:to>
      <xdr:col>60</xdr:col>
      <xdr:colOff>4408535</xdr:colOff>
      <xdr:row>110</xdr:row>
      <xdr:rowOff>1216958</xdr:rowOff>
    </xdr:to>
    <xdr:pic>
      <xdr:nvPicPr>
        <xdr:cNvPr id="100" name="Afbeelding 99">
          <a:extLst>
            <a:ext uri="{FF2B5EF4-FFF2-40B4-BE49-F238E27FC236}">
              <a16:creationId xmlns:a16="http://schemas.microsoft.com/office/drawing/2014/main" id="{15D6E85F-354A-4BD7-AE3E-2AC7F8865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60813" y="3038587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4809565</xdr:colOff>
      <xdr:row>110</xdr:row>
      <xdr:rowOff>607358</xdr:rowOff>
    </xdr:from>
    <xdr:to>
      <xdr:col>60</xdr:col>
      <xdr:colOff>4964346</xdr:colOff>
      <xdr:row>110</xdr:row>
      <xdr:rowOff>797858</xdr:rowOff>
    </xdr:to>
    <xdr:pic>
      <xdr:nvPicPr>
        <xdr:cNvPr id="101" name="Afbeelding 100">
          <a:extLst>
            <a:ext uri="{FF2B5EF4-FFF2-40B4-BE49-F238E27FC236}">
              <a16:creationId xmlns:a16="http://schemas.microsoft.com/office/drawing/2014/main" id="{8655045F-E6EF-4D2B-B81B-A52E3E2D9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116624" y="29966770"/>
          <a:ext cx="154781" cy="190500"/>
        </a:xfrm>
        <a:prstGeom prst="rect">
          <a:avLst/>
        </a:prstGeom>
      </xdr:spPr>
    </xdr:pic>
    <xdr:clientData/>
  </xdr:twoCellAnchor>
  <xdr:twoCellAnchor editAs="oneCell">
    <xdr:from>
      <xdr:col>60</xdr:col>
      <xdr:colOff>95249</xdr:colOff>
      <xdr:row>112</xdr:row>
      <xdr:rowOff>1632857</xdr:rowOff>
    </xdr:from>
    <xdr:to>
      <xdr:col>60</xdr:col>
      <xdr:colOff>5034642</xdr:colOff>
      <xdr:row>113</xdr:row>
      <xdr:rowOff>83323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79E3BC2A-E72E-45FD-8BF1-E8E2AF707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6834535" y="34779857"/>
          <a:ext cx="4939393" cy="328252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109</xdr:row>
      <xdr:rowOff>69619</xdr:rowOff>
    </xdr:from>
    <xdr:to>
      <xdr:col>61</xdr:col>
      <xdr:colOff>0</xdr:colOff>
      <xdr:row>110</xdr:row>
      <xdr:rowOff>0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37D48BCA-2C6B-4CB8-B3FB-5EE1F5A2D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6739286" y="27583262"/>
          <a:ext cx="5184321" cy="1808167"/>
        </a:xfrm>
        <a:prstGeom prst="rect">
          <a:avLst/>
        </a:prstGeom>
      </xdr:spPr>
    </xdr:pic>
    <xdr:clientData/>
  </xdr:twoCellAnchor>
  <xdr:twoCellAnchor editAs="oneCell">
    <xdr:from>
      <xdr:col>60</xdr:col>
      <xdr:colOff>3837214</xdr:colOff>
      <xdr:row>109</xdr:row>
      <xdr:rowOff>625929</xdr:rowOff>
    </xdr:from>
    <xdr:to>
      <xdr:col>60</xdr:col>
      <xdr:colOff>3973286</xdr:colOff>
      <xdr:row>109</xdr:row>
      <xdr:rowOff>793402</xdr:rowOff>
    </xdr:to>
    <xdr:pic>
      <xdr:nvPicPr>
        <xdr:cNvPr id="82" name="Afbeelding 81">
          <a:extLst>
            <a:ext uri="{FF2B5EF4-FFF2-40B4-BE49-F238E27FC236}">
              <a16:creationId xmlns:a16="http://schemas.microsoft.com/office/drawing/2014/main" id="{94ED8917-0145-4309-9068-FB8309EA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576500" y="28139572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3282044</xdr:colOff>
      <xdr:row>109</xdr:row>
      <xdr:rowOff>1091293</xdr:rowOff>
    </xdr:from>
    <xdr:to>
      <xdr:col>60</xdr:col>
      <xdr:colOff>3418116</xdr:colOff>
      <xdr:row>109</xdr:row>
      <xdr:rowOff>1258766</xdr:rowOff>
    </xdr:to>
    <xdr:pic>
      <xdr:nvPicPr>
        <xdr:cNvPr id="86" name="Afbeelding 85">
          <a:extLst>
            <a:ext uri="{FF2B5EF4-FFF2-40B4-BE49-F238E27FC236}">
              <a16:creationId xmlns:a16="http://schemas.microsoft.com/office/drawing/2014/main" id="{42F7293A-E1C6-45E2-975C-0663B09FC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021330" y="28604936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2754087</xdr:colOff>
      <xdr:row>109</xdr:row>
      <xdr:rowOff>631372</xdr:rowOff>
    </xdr:from>
    <xdr:to>
      <xdr:col>60</xdr:col>
      <xdr:colOff>2890159</xdr:colOff>
      <xdr:row>109</xdr:row>
      <xdr:rowOff>798845</xdr:rowOff>
    </xdr:to>
    <xdr:pic>
      <xdr:nvPicPr>
        <xdr:cNvPr id="87" name="Afbeelding 86">
          <a:extLst>
            <a:ext uri="{FF2B5EF4-FFF2-40B4-BE49-F238E27FC236}">
              <a16:creationId xmlns:a16="http://schemas.microsoft.com/office/drawing/2014/main" id="{064B4E01-A572-43DE-871D-0361E55F7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93373" y="28145015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2171701</xdr:colOff>
      <xdr:row>109</xdr:row>
      <xdr:rowOff>1096736</xdr:rowOff>
    </xdr:from>
    <xdr:to>
      <xdr:col>60</xdr:col>
      <xdr:colOff>2307773</xdr:colOff>
      <xdr:row>109</xdr:row>
      <xdr:rowOff>1264209</xdr:rowOff>
    </xdr:to>
    <xdr:pic>
      <xdr:nvPicPr>
        <xdr:cNvPr id="89" name="Afbeelding 88">
          <a:extLst>
            <a:ext uri="{FF2B5EF4-FFF2-40B4-BE49-F238E27FC236}">
              <a16:creationId xmlns:a16="http://schemas.microsoft.com/office/drawing/2014/main" id="{C53C69E5-3FF0-4862-A7C2-886E81C31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910987" y="28610379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1670959</xdr:colOff>
      <xdr:row>109</xdr:row>
      <xdr:rowOff>609600</xdr:rowOff>
    </xdr:from>
    <xdr:to>
      <xdr:col>60</xdr:col>
      <xdr:colOff>1807031</xdr:colOff>
      <xdr:row>109</xdr:row>
      <xdr:rowOff>777073</xdr:rowOff>
    </xdr:to>
    <xdr:pic>
      <xdr:nvPicPr>
        <xdr:cNvPr id="93" name="Afbeelding 92">
          <a:extLst>
            <a:ext uri="{FF2B5EF4-FFF2-40B4-BE49-F238E27FC236}">
              <a16:creationId xmlns:a16="http://schemas.microsoft.com/office/drawing/2014/main" id="{D86E8C96-46EF-4618-9DF3-26AAE5FCF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410245" y="28123243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1170216</xdr:colOff>
      <xdr:row>109</xdr:row>
      <xdr:rowOff>1115785</xdr:rowOff>
    </xdr:from>
    <xdr:to>
      <xdr:col>60</xdr:col>
      <xdr:colOff>1306288</xdr:colOff>
      <xdr:row>109</xdr:row>
      <xdr:rowOff>1283258</xdr:rowOff>
    </xdr:to>
    <xdr:pic>
      <xdr:nvPicPr>
        <xdr:cNvPr id="102" name="Afbeelding 101">
          <a:extLst>
            <a:ext uri="{FF2B5EF4-FFF2-40B4-BE49-F238E27FC236}">
              <a16:creationId xmlns:a16="http://schemas.microsoft.com/office/drawing/2014/main" id="{553892A0-80CB-476A-AE44-DE1BAA67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909502" y="28629428"/>
          <a:ext cx="136072" cy="167473"/>
        </a:xfrm>
        <a:prstGeom prst="rect">
          <a:avLst/>
        </a:prstGeom>
      </xdr:spPr>
    </xdr:pic>
    <xdr:clientData/>
  </xdr:twoCellAnchor>
  <xdr:twoCellAnchor editAs="oneCell">
    <xdr:from>
      <xdr:col>60</xdr:col>
      <xdr:colOff>0</xdr:colOff>
      <xdr:row>114</xdr:row>
      <xdr:rowOff>0</xdr:rowOff>
    </xdr:from>
    <xdr:to>
      <xdr:col>61</xdr:col>
      <xdr:colOff>122464</xdr:colOff>
      <xdr:row>115</xdr:row>
      <xdr:rowOff>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A57246A9-70FD-4EBF-9BD8-F1A31258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6739286" y="36902571"/>
          <a:ext cx="5306785" cy="1877786"/>
        </a:xfrm>
        <a:prstGeom prst="rect">
          <a:avLst/>
        </a:prstGeom>
      </xdr:spPr>
    </xdr:pic>
    <xdr:clientData/>
  </xdr:twoCellAnchor>
  <xdr:twoCellAnchor editAs="oneCell">
    <xdr:from>
      <xdr:col>60</xdr:col>
      <xdr:colOff>1673679</xdr:colOff>
      <xdr:row>114</xdr:row>
      <xdr:rowOff>598714</xdr:rowOff>
    </xdr:from>
    <xdr:to>
      <xdr:col>60</xdr:col>
      <xdr:colOff>1839516</xdr:colOff>
      <xdr:row>114</xdr:row>
      <xdr:rowOff>802822</xdr:rowOff>
    </xdr:to>
    <xdr:pic>
      <xdr:nvPicPr>
        <xdr:cNvPr id="103" name="Afbeelding 102">
          <a:extLst>
            <a:ext uri="{FF2B5EF4-FFF2-40B4-BE49-F238E27FC236}">
              <a16:creationId xmlns:a16="http://schemas.microsoft.com/office/drawing/2014/main" id="{6C18FDB3-42C7-401F-A9FD-E9F6050D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412965" y="37501285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60</xdr:col>
      <xdr:colOff>3429000</xdr:colOff>
      <xdr:row>114</xdr:row>
      <xdr:rowOff>585107</xdr:rowOff>
    </xdr:from>
    <xdr:to>
      <xdr:col>60</xdr:col>
      <xdr:colOff>3594837</xdr:colOff>
      <xdr:row>114</xdr:row>
      <xdr:rowOff>789215</xdr:rowOff>
    </xdr:to>
    <xdr:pic>
      <xdr:nvPicPr>
        <xdr:cNvPr id="104" name="Afbeelding 103">
          <a:extLst>
            <a:ext uri="{FF2B5EF4-FFF2-40B4-BE49-F238E27FC236}">
              <a16:creationId xmlns:a16="http://schemas.microsoft.com/office/drawing/2014/main" id="{4F226447-6A33-431F-90D1-DCD1D590C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168286" y="37487678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60</xdr:col>
      <xdr:colOff>4016829</xdr:colOff>
      <xdr:row>114</xdr:row>
      <xdr:rowOff>1118506</xdr:rowOff>
    </xdr:from>
    <xdr:to>
      <xdr:col>60</xdr:col>
      <xdr:colOff>4182666</xdr:colOff>
      <xdr:row>114</xdr:row>
      <xdr:rowOff>1322614</xdr:rowOff>
    </xdr:to>
    <xdr:pic>
      <xdr:nvPicPr>
        <xdr:cNvPr id="105" name="Afbeelding 104">
          <a:extLst>
            <a:ext uri="{FF2B5EF4-FFF2-40B4-BE49-F238E27FC236}">
              <a16:creationId xmlns:a16="http://schemas.microsoft.com/office/drawing/2014/main" id="{D76D50DF-6286-4D53-A868-E7B927D7C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56115" y="38021077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60</xdr:col>
      <xdr:colOff>4509407</xdr:colOff>
      <xdr:row>114</xdr:row>
      <xdr:rowOff>1107620</xdr:rowOff>
    </xdr:from>
    <xdr:to>
      <xdr:col>60</xdr:col>
      <xdr:colOff>4675244</xdr:colOff>
      <xdr:row>114</xdr:row>
      <xdr:rowOff>1311728</xdr:rowOff>
    </xdr:to>
    <xdr:pic>
      <xdr:nvPicPr>
        <xdr:cNvPr id="106" name="Afbeelding 105">
          <a:extLst>
            <a:ext uri="{FF2B5EF4-FFF2-40B4-BE49-F238E27FC236}">
              <a16:creationId xmlns:a16="http://schemas.microsoft.com/office/drawing/2014/main" id="{7E67DE16-1C26-4BCC-BE04-D4B967E0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248693" y="38010191"/>
          <a:ext cx="165837" cy="204108"/>
        </a:xfrm>
        <a:prstGeom prst="rect">
          <a:avLst/>
        </a:prstGeom>
      </xdr:spPr>
    </xdr:pic>
    <xdr:clientData/>
  </xdr:twoCellAnchor>
  <xdr:twoCellAnchor editAs="oneCell">
    <xdr:from>
      <xdr:col>60</xdr:col>
      <xdr:colOff>1028701</xdr:colOff>
      <xdr:row>114</xdr:row>
      <xdr:rowOff>1083128</xdr:rowOff>
    </xdr:from>
    <xdr:to>
      <xdr:col>60</xdr:col>
      <xdr:colOff>1194538</xdr:colOff>
      <xdr:row>114</xdr:row>
      <xdr:rowOff>1287236</xdr:rowOff>
    </xdr:to>
    <xdr:pic>
      <xdr:nvPicPr>
        <xdr:cNvPr id="107" name="Afbeelding 106">
          <a:extLst>
            <a:ext uri="{FF2B5EF4-FFF2-40B4-BE49-F238E27FC236}">
              <a16:creationId xmlns:a16="http://schemas.microsoft.com/office/drawing/2014/main" id="{D2B2B6AD-42C9-4EBB-9E0C-927EB3BF7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767987" y="37985699"/>
          <a:ext cx="165837" cy="204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61C6-8AD5-46EA-9E99-03427D2E940F}">
  <sheetPr codeName="Blad1">
    <tabColor rgb="FFA05599"/>
  </sheetPr>
  <dimension ref="A1:AX73"/>
  <sheetViews>
    <sheetView tabSelected="1" zoomScale="85" zoomScaleNormal="85" workbookViewId="0">
      <selection activeCell="E15" sqref="E15:H16"/>
    </sheetView>
  </sheetViews>
  <sheetFormatPr defaultRowHeight="15" x14ac:dyDescent="0.25"/>
  <cols>
    <col min="1" max="1" width="5.140625" style="25" customWidth="1"/>
    <col min="2" max="2" width="4.42578125" style="25" customWidth="1"/>
    <col min="3" max="3" width="4.28515625" style="25" customWidth="1"/>
    <col min="4" max="4" width="4.7109375" style="25" customWidth="1"/>
    <col min="5" max="9" width="4.28515625" style="25" customWidth="1"/>
    <col min="10" max="10" width="2" style="25" customWidth="1"/>
    <col min="11" max="12" width="4.28515625" style="25" customWidth="1"/>
    <col min="13" max="14" width="4.140625" style="25" customWidth="1"/>
    <col min="15" max="16" width="4.28515625" style="25" customWidth="1"/>
    <col min="17" max="18" width="4.140625" style="25" customWidth="1"/>
    <col min="19" max="20" width="4.28515625" style="25" customWidth="1"/>
    <col min="21" max="22" width="4.140625" style="25" customWidth="1"/>
    <col min="23" max="29" width="4.28515625" style="25" customWidth="1"/>
    <col min="30" max="30" width="2" style="25" customWidth="1"/>
    <col min="31" max="31" width="6.42578125" style="25" customWidth="1"/>
    <col min="32" max="40" width="4.42578125" style="25" customWidth="1"/>
    <col min="41" max="41" width="9.140625" style="25" customWidth="1"/>
    <col min="42" max="42" width="12.42578125" style="25" bestFit="1" customWidth="1"/>
    <col min="43" max="16384" width="9.140625" style="25"/>
  </cols>
  <sheetData>
    <row r="1" spans="1:48" s="110" customFormat="1" ht="15.75" thickBot="1" x14ac:dyDescent="0.3"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</row>
    <row r="2" spans="1:48" s="110" customFormat="1" x14ac:dyDescent="0.25">
      <c r="S2" s="112"/>
      <c r="T2" s="113"/>
      <c r="U2" s="113"/>
      <c r="V2" s="113"/>
      <c r="W2" s="114"/>
      <c r="X2" s="113"/>
      <c r="Y2" s="114"/>
      <c r="Z2" s="114"/>
      <c r="AA2" s="113"/>
      <c r="AB2" s="115"/>
      <c r="AD2" s="111"/>
      <c r="AF2" s="111"/>
      <c r="AG2" s="111"/>
      <c r="AH2" s="111"/>
      <c r="AI2" s="111"/>
      <c r="AJ2" s="111"/>
    </row>
    <row r="3" spans="1:48" s="110" customFormat="1" x14ac:dyDescent="0.25">
      <c r="S3" s="235" t="s">
        <v>90</v>
      </c>
      <c r="T3" s="236"/>
      <c r="U3" s="236"/>
      <c r="V3" s="236"/>
      <c r="W3" s="146" t="str">
        <f>IF(E23=A40,"",IF(I49=0," Motor side",""))</f>
        <v/>
      </c>
      <c r="X3" s="146"/>
      <c r="Y3" s="146"/>
      <c r="Z3" s="146">
        <f>IF(I49=0,J45,"")</f>
        <v>14</v>
      </c>
      <c r="AA3" s="146"/>
      <c r="AB3" s="116"/>
      <c r="AD3" s="117"/>
      <c r="AF3" s="111"/>
      <c r="AG3" s="111"/>
      <c r="AH3" s="111"/>
      <c r="AI3" s="111"/>
    </row>
    <row r="4" spans="1:48" s="110" customFormat="1" x14ac:dyDescent="0.25">
      <c r="S4" s="145" t="s">
        <v>89</v>
      </c>
      <c r="T4" s="146"/>
      <c r="U4" s="146"/>
      <c r="V4" s="146"/>
      <c r="W4" s="146" t="str">
        <f>IF(E23=A41,IF(I49=0," Return side",""),"")</f>
        <v/>
      </c>
      <c r="X4" s="146"/>
      <c r="Y4" s="146"/>
      <c r="Z4" s="146" t="str">
        <f>IF($E$23=$A$41,IF(I49=0,J46,""),"")</f>
        <v/>
      </c>
      <c r="AA4" s="146"/>
      <c r="AB4" s="116"/>
      <c r="AD4" s="117"/>
      <c r="AF4" s="111"/>
      <c r="AG4" s="111"/>
      <c r="AH4" s="111"/>
      <c r="AI4" s="111"/>
    </row>
    <row r="5" spans="1:48" s="110" customFormat="1" x14ac:dyDescent="0.25">
      <c r="S5" s="118"/>
      <c r="T5" s="119"/>
      <c r="U5" s="119"/>
      <c r="V5" s="119"/>
      <c r="W5" s="120"/>
      <c r="X5" s="120"/>
      <c r="Y5" s="120"/>
      <c r="Z5" s="121"/>
      <c r="AA5" s="119"/>
      <c r="AB5" s="122"/>
      <c r="AD5" s="111"/>
      <c r="AF5" s="123"/>
      <c r="AG5" s="123"/>
      <c r="AH5" s="111"/>
      <c r="AI5" s="111"/>
    </row>
    <row r="6" spans="1:48" s="110" customFormat="1" ht="15" customHeight="1" x14ac:dyDescent="0.25">
      <c r="B6" s="124"/>
      <c r="C6" s="124"/>
      <c r="D6" s="124"/>
      <c r="E6" s="124"/>
      <c r="F6" s="124"/>
      <c r="G6" s="124"/>
      <c r="H6" s="124"/>
      <c r="I6" s="124"/>
      <c r="S6" s="118"/>
      <c r="T6" s="111"/>
      <c r="U6" s="111"/>
      <c r="V6" s="111"/>
      <c r="W6" s="125"/>
      <c r="X6" s="125"/>
      <c r="Y6" s="125"/>
      <c r="Z6" s="117"/>
      <c r="AA6" s="111"/>
      <c r="AB6" s="122"/>
      <c r="AD6" s="111"/>
      <c r="AF6" s="111"/>
      <c r="AG6" s="111"/>
      <c r="AH6" s="111"/>
      <c r="AI6" s="111"/>
    </row>
    <row r="7" spans="1:48" s="110" customFormat="1" ht="15" customHeight="1" x14ac:dyDescent="0.25">
      <c r="E7" s="150" t="s">
        <v>71</v>
      </c>
      <c r="F7" s="150"/>
      <c r="G7" s="150"/>
      <c r="H7" s="150"/>
      <c r="I7" s="150"/>
      <c r="J7" s="150"/>
      <c r="K7" s="150"/>
      <c r="L7" s="150"/>
      <c r="M7" s="150"/>
      <c r="N7" s="150"/>
      <c r="O7" s="150"/>
      <c r="S7" s="145" t="s">
        <v>91</v>
      </c>
      <c r="T7" s="146"/>
      <c r="U7" s="146"/>
      <c r="V7" s="146"/>
      <c r="W7" s="146" t="str">
        <f>IF(E23=A40,"",IF(I49=0," Motor side",""))</f>
        <v/>
      </c>
      <c r="X7" s="146"/>
      <c r="Y7" s="146"/>
      <c r="Z7" s="146">
        <f>IF(I49=0,J43,"")</f>
        <v>14</v>
      </c>
      <c r="AA7" s="146"/>
      <c r="AB7" s="116"/>
      <c r="AC7" s="146" t="str">
        <f>IF(J47=1,"",IF(I49=1,"",Z7/I42))</f>
        <v/>
      </c>
      <c r="AD7" s="146"/>
      <c r="AE7" s="111" t="str">
        <f>IF(J47=0,"Roll","")</f>
        <v/>
      </c>
      <c r="AI7" s="123"/>
    </row>
    <row r="8" spans="1:48" s="110" customFormat="1" ht="15" customHeight="1" x14ac:dyDescent="0.25"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S8" s="145" t="s">
        <v>92</v>
      </c>
      <c r="T8" s="146"/>
      <c r="U8" s="146"/>
      <c r="V8" s="146"/>
      <c r="W8" s="146" t="str">
        <f>IF(E23=A41,IF(I49=0," Return side",""),"")</f>
        <v/>
      </c>
      <c r="X8" s="146"/>
      <c r="Y8" s="146"/>
      <c r="Z8" s="146" t="str">
        <f>IF($E$23=$A$41,IF(I49=0,J44,""),"")</f>
        <v/>
      </c>
      <c r="AA8" s="146"/>
      <c r="AB8" s="116"/>
      <c r="AC8" s="146" t="str">
        <f>IF(J47=1,"",IF(I49=1,"",IF(Z8="","",Z8/I42)))</f>
        <v/>
      </c>
      <c r="AD8" s="146"/>
      <c r="AE8" s="111" t="str">
        <f>IF($J$47=0,IF(Z8="","","Roll"),"")</f>
        <v/>
      </c>
      <c r="AI8" s="111"/>
    </row>
    <row r="9" spans="1:48" s="110" customFormat="1" ht="15" customHeight="1" x14ac:dyDescent="0.25"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S9" s="118"/>
      <c r="T9" s="119"/>
      <c r="U9" s="119"/>
      <c r="V9" s="119"/>
      <c r="W9" s="120"/>
      <c r="X9" s="120"/>
      <c r="Y9" s="120"/>
      <c r="Z9" s="119"/>
      <c r="AA9" s="119"/>
      <c r="AB9" s="122"/>
      <c r="AC9" s="146" t="str">
        <f>IF(E23=A40,"",IF(J47=1,"",IF(I49=1,"",AC8+AC7)))</f>
        <v/>
      </c>
      <c r="AD9" s="146"/>
      <c r="AE9" s="111" t="str">
        <f>IF($J$47=0,"Total","")</f>
        <v/>
      </c>
      <c r="AI9" s="123"/>
    </row>
    <row r="10" spans="1:48" s="110" customFormat="1" x14ac:dyDescent="0.25">
      <c r="S10" s="118"/>
      <c r="T10" s="111"/>
      <c r="U10" s="111"/>
      <c r="V10" s="111"/>
      <c r="W10" s="125"/>
      <c r="X10" s="125"/>
      <c r="Y10" s="125"/>
      <c r="Z10" s="111"/>
      <c r="AA10" s="111"/>
      <c r="AB10" s="122"/>
      <c r="AD10" s="111"/>
      <c r="AE10" s="111"/>
      <c r="AF10" s="111"/>
      <c r="AG10" s="111"/>
      <c r="AH10" s="111"/>
      <c r="AI10" s="111"/>
    </row>
    <row r="11" spans="1:48" s="110" customFormat="1" x14ac:dyDescent="0.25">
      <c r="I11" s="126"/>
      <c r="J11" s="111"/>
      <c r="K11" s="111"/>
      <c r="L11" s="127"/>
      <c r="M11" s="111"/>
      <c r="S11" s="145" t="s">
        <v>94</v>
      </c>
      <c r="T11" s="146"/>
      <c r="U11" s="146"/>
      <c r="V11" s="146"/>
      <c r="W11" s="146" t="str">
        <f>IF(E23=A40,"",IF(I49=0,"Motor side",""))</f>
        <v/>
      </c>
      <c r="X11" s="146"/>
      <c r="Y11" s="146"/>
      <c r="Z11" s="231">
        <f>IF(I49=0,CEILING(J51,1),"")</f>
        <v>29</v>
      </c>
      <c r="AA11" s="231"/>
      <c r="AB11" s="128" t="str">
        <f>IF(Z11="","","cm")</f>
        <v>cm</v>
      </c>
      <c r="AD11" s="117"/>
      <c r="AE11" s="111"/>
      <c r="AF11" s="111"/>
      <c r="AG11" s="111"/>
      <c r="AH11" s="111"/>
      <c r="AI11" s="111"/>
    </row>
    <row r="12" spans="1:48" s="110" customFormat="1" x14ac:dyDescent="0.25">
      <c r="S12" s="145" t="s">
        <v>95</v>
      </c>
      <c r="T12" s="146"/>
      <c r="U12" s="146"/>
      <c r="V12" s="146"/>
      <c r="W12" s="146" t="str">
        <f>IF(E23=A41,IF(I49=0,"Return side",""),"")</f>
        <v/>
      </c>
      <c r="X12" s="146"/>
      <c r="Y12" s="146"/>
      <c r="Z12" s="231" t="str">
        <f>IF($E$23=$A$41,IF(I49=0,CEILING(J52,1),""),"")</f>
        <v/>
      </c>
      <c r="AA12" s="231"/>
      <c r="AB12" s="128" t="str">
        <f>IF(Z12="","","cm")</f>
        <v/>
      </c>
      <c r="AD12" s="117"/>
      <c r="AE12" s="111"/>
      <c r="AF12" s="111"/>
      <c r="AG12" s="111"/>
      <c r="AH12" s="111"/>
      <c r="AI12" s="111"/>
    </row>
    <row r="13" spans="1:48" s="110" customFormat="1" x14ac:dyDescent="0.25">
      <c r="S13" s="145" t="s">
        <v>93</v>
      </c>
      <c r="T13" s="146"/>
      <c r="U13" s="146"/>
      <c r="V13" s="146"/>
      <c r="W13" s="139"/>
      <c r="X13" s="139"/>
      <c r="Y13" s="139"/>
      <c r="Z13" s="111"/>
      <c r="AA13" s="142"/>
      <c r="AB13" s="128"/>
      <c r="AD13" s="111"/>
      <c r="AE13" s="111"/>
      <c r="AF13" s="111"/>
      <c r="AG13" s="111"/>
      <c r="AH13" s="111"/>
      <c r="AI13" s="111"/>
    </row>
    <row r="14" spans="1:48" s="110" customFormat="1" ht="15.75" thickBot="1" x14ac:dyDescent="0.3">
      <c r="A14" s="141" t="str">
        <f>"V1.0"&amp;IF(H49=1,"a",IF(H51=1,"t",IF(D48=A43,"t","")))</f>
        <v>V1.0</v>
      </c>
      <c r="B14" s="141"/>
      <c r="C14" s="135"/>
      <c r="D14" s="135"/>
      <c r="E14" s="135"/>
      <c r="F14" s="135"/>
      <c r="G14" s="135"/>
      <c r="H14" s="135"/>
      <c r="S14" s="118"/>
      <c r="T14" s="143"/>
      <c r="U14" s="143"/>
      <c r="V14" s="143"/>
      <c r="W14" s="140"/>
      <c r="X14" s="140"/>
      <c r="Y14" s="140"/>
      <c r="Z14" s="143"/>
      <c r="AA14" s="143"/>
      <c r="AB14" s="128"/>
      <c r="AE14" s="111"/>
      <c r="AF14" s="111"/>
      <c r="AG14" s="111"/>
      <c r="AH14" s="111"/>
      <c r="AI14" s="111"/>
    </row>
    <row r="15" spans="1:48" s="110" customFormat="1" x14ac:dyDescent="0.25">
      <c r="A15" s="157" t="s">
        <v>64</v>
      </c>
      <c r="B15" s="158"/>
      <c r="C15" s="158"/>
      <c r="D15" s="158"/>
      <c r="E15" s="151" t="s">
        <v>66</v>
      </c>
      <c r="F15" s="152"/>
      <c r="G15" s="152"/>
      <c r="H15" s="153"/>
      <c r="I15" s="126"/>
      <c r="S15" s="145" t="s">
        <v>96</v>
      </c>
      <c r="T15" s="146"/>
      <c r="U15" s="146"/>
      <c r="V15" s="146"/>
      <c r="W15" s="146" t="str">
        <f>IF(E23=A40,"",IF(Z15="","",IF(I49=0,"Motor side","")))</f>
        <v/>
      </c>
      <c r="X15" s="146"/>
      <c r="Y15" s="146"/>
      <c r="Z15" s="231" t="str">
        <f>IF(H37=TRUE,"",IF(I49=0,IF(G37=0,"± "&amp;I46,""),""))</f>
        <v>± 225</v>
      </c>
      <c r="AA15" s="231"/>
      <c r="AB15" s="128" t="str">
        <f>IF(Z15="","","cm")</f>
        <v>cm</v>
      </c>
      <c r="AC15" s="146" t="str">
        <f>IF(G37=1,"",IF(J47=1,"",IF(I49=1,"",I46/I35)))</f>
        <v/>
      </c>
      <c r="AD15" s="146"/>
      <c r="AE15" s="111" t="str">
        <f>IF($J$47=0,"Roll","")</f>
        <v/>
      </c>
      <c r="AI15" s="111"/>
    </row>
    <row r="16" spans="1:48" s="110" customFormat="1" x14ac:dyDescent="0.25">
      <c r="A16" s="159" t="s">
        <v>65</v>
      </c>
      <c r="B16" s="160"/>
      <c r="C16" s="160"/>
      <c r="D16" s="160"/>
      <c r="E16" s="154"/>
      <c r="F16" s="155"/>
      <c r="G16" s="155"/>
      <c r="H16" s="156"/>
      <c r="S16" s="145" t="s">
        <v>97</v>
      </c>
      <c r="T16" s="146"/>
      <c r="U16" s="146"/>
      <c r="V16" s="146"/>
      <c r="W16" s="146" t="str">
        <f>IF(H37=TRUE,"",IF(E23=A41,IF(Z16="","",IF(I49=0,"Return side","")),""))</f>
        <v/>
      </c>
      <c r="X16" s="146"/>
      <c r="Y16" s="146"/>
      <c r="Z16" s="231" t="str">
        <f>IF(H37=TRUE,"",IF(G37=1,"",IF($E$23=$A$41,IF(I49=0,"± "&amp;I47,""),"")))</f>
        <v/>
      </c>
      <c r="AA16" s="231"/>
      <c r="AB16" s="128" t="str">
        <f>IF(Z16="","","cm")</f>
        <v/>
      </c>
      <c r="AC16" s="146" t="str">
        <f>IF(G37=1,"",IF(J47=1,"",IF(I49=1,"",IF(Z16="","",I47/I35))))</f>
        <v/>
      </c>
      <c r="AD16" s="146"/>
      <c r="AE16" s="111" t="str">
        <f>IF($J$47=0,IF(Z16="","","Roll"),"")</f>
        <v/>
      </c>
      <c r="AI16" s="111"/>
    </row>
    <row r="17" spans="1:50" s="110" customFormat="1" ht="15.75" customHeight="1" x14ac:dyDescent="0.25">
      <c r="A17" s="167" t="s">
        <v>82</v>
      </c>
      <c r="B17" s="168"/>
      <c r="C17" s="168"/>
      <c r="D17" s="168"/>
      <c r="E17" s="161" t="s">
        <v>5</v>
      </c>
      <c r="F17" s="162"/>
      <c r="G17" s="162"/>
      <c r="H17" s="163"/>
      <c r="S17" s="118"/>
      <c r="T17" s="119"/>
      <c r="U17" s="119"/>
      <c r="V17" s="119"/>
      <c r="W17" s="129"/>
      <c r="X17" s="129"/>
      <c r="Y17" s="129"/>
      <c r="Z17" s="130"/>
      <c r="AA17" s="130"/>
      <c r="AB17" s="128" t="str">
        <f>IF(Z17="","","cm")</f>
        <v/>
      </c>
      <c r="AC17" s="146" t="str">
        <f>IF(G37=1,"",IF(E23=A40,"",IF(J47=1,"",IF(I49=1,"",AC16+AC15))))</f>
        <v/>
      </c>
      <c r="AD17" s="146"/>
      <c r="AE17" s="111" t="str">
        <f>IF($J$47=0,"Total","")</f>
        <v/>
      </c>
      <c r="AI17" s="111"/>
    </row>
    <row r="18" spans="1:50" s="110" customFormat="1" ht="15.75" customHeight="1" x14ac:dyDescent="0.25">
      <c r="A18" s="169"/>
      <c r="B18" s="170"/>
      <c r="C18" s="170"/>
      <c r="D18" s="170"/>
      <c r="E18" s="164"/>
      <c r="F18" s="165"/>
      <c r="G18" s="165"/>
      <c r="H18" s="166"/>
      <c r="I18" s="126"/>
      <c r="J18" s="111"/>
      <c r="K18" s="131"/>
      <c r="L18" s="131"/>
      <c r="M18" s="131"/>
      <c r="N18" s="131"/>
      <c r="O18" s="131"/>
      <c r="P18" s="131"/>
      <c r="Q18" s="131"/>
      <c r="R18" s="132"/>
      <c r="S18" s="118"/>
      <c r="T18" s="111"/>
      <c r="U18" s="111"/>
      <c r="V18" s="111"/>
      <c r="W18" s="123"/>
      <c r="X18" s="123"/>
      <c r="Y18" s="123"/>
      <c r="Z18" s="133"/>
      <c r="AA18" s="133"/>
      <c r="AB18" s="128" t="str">
        <f>IF(Z18="","","cm")</f>
        <v/>
      </c>
    </row>
    <row r="19" spans="1:50" s="110" customFormat="1" x14ac:dyDescent="0.25">
      <c r="A19" s="167" t="s">
        <v>83</v>
      </c>
      <c r="B19" s="168"/>
      <c r="C19" s="168"/>
      <c r="D19" s="168"/>
      <c r="E19" s="161">
        <v>100</v>
      </c>
      <c r="F19" s="162"/>
      <c r="G19" s="162"/>
      <c r="H19" s="163"/>
      <c r="I19" s="179" t="str">
        <f>IF(E19="","",IF(J50=1,"!",""))</f>
        <v/>
      </c>
      <c r="J19" s="179"/>
      <c r="K19" s="111"/>
      <c r="S19" s="145" t="s">
        <v>98</v>
      </c>
      <c r="T19" s="146"/>
      <c r="U19" s="146"/>
      <c r="V19" s="146"/>
      <c r="W19" s="146" t="str">
        <f>IF(W15="","",W15)</f>
        <v/>
      </c>
      <c r="X19" s="146"/>
      <c r="Y19" s="146"/>
      <c r="Z19" s="147">
        <f>IF(Z15="","",I46/E19*100)</f>
        <v>225</v>
      </c>
      <c r="AA19" s="147"/>
      <c r="AB19" s="122" t="str">
        <f>IF(Z19="","","%")</f>
        <v>%</v>
      </c>
    </row>
    <row r="20" spans="1:50" s="110" customFormat="1" ht="15.75" thickBot="1" x14ac:dyDescent="0.3">
      <c r="A20" s="169"/>
      <c r="B20" s="170"/>
      <c r="C20" s="170"/>
      <c r="D20" s="170"/>
      <c r="E20" s="164"/>
      <c r="F20" s="165"/>
      <c r="G20" s="165"/>
      <c r="H20" s="166"/>
      <c r="I20" s="179"/>
      <c r="J20" s="179"/>
      <c r="K20" s="123"/>
      <c r="L20" s="123"/>
      <c r="M20" s="123"/>
      <c r="N20" s="123"/>
      <c r="O20" s="123"/>
      <c r="P20" s="123"/>
      <c r="Q20" s="123"/>
      <c r="R20" s="123"/>
      <c r="S20" s="134"/>
      <c r="T20" s="135"/>
      <c r="U20" s="135"/>
      <c r="V20" s="135"/>
      <c r="W20" s="148" t="str">
        <f>IF(W16="","",W16)</f>
        <v/>
      </c>
      <c r="X20" s="148"/>
      <c r="Y20" s="148"/>
      <c r="Z20" s="149" t="str">
        <f>IF(Z16="","",I47/E19*100)</f>
        <v/>
      </c>
      <c r="AA20" s="149"/>
      <c r="AB20" s="136" t="str">
        <f>IF(Z20="","","%")</f>
        <v/>
      </c>
      <c r="AD20" s="111"/>
    </row>
    <row r="21" spans="1:50" s="110" customFormat="1" ht="15" customHeight="1" x14ac:dyDescent="0.25">
      <c r="A21" s="167" t="s">
        <v>61</v>
      </c>
      <c r="B21" s="168"/>
      <c r="C21" s="168"/>
      <c r="D21" s="168"/>
      <c r="E21" s="171" t="s">
        <v>75</v>
      </c>
      <c r="F21" s="172"/>
      <c r="G21" s="172"/>
      <c r="H21" s="17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11"/>
      <c r="AD21" s="111"/>
    </row>
    <row r="22" spans="1:50" s="110" customFormat="1" ht="15" customHeight="1" x14ac:dyDescent="0.25">
      <c r="A22" s="169"/>
      <c r="B22" s="170"/>
      <c r="C22" s="170"/>
      <c r="D22" s="170"/>
      <c r="E22" s="174"/>
      <c r="F22" s="175"/>
      <c r="G22" s="175"/>
      <c r="H22" s="176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11"/>
      <c r="AC22" s="111"/>
      <c r="AD22" s="111"/>
    </row>
    <row r="23" spans="1:50" s="110" customFormat="1" ht="15.75" customHeight="1" x14ac:dyDescent="0.25">
      <c r="A23" s="177" t="s">
        <v>84</v>
      </c>
      <c r="B23" s="178"/>
      <c r="C23" s="178"/>
      <c r="D23" s="178"/>
      <c r="E23" s="161" t="s">
        <v>87</v>
      </c>
      <c r="F23" s="162"/>
      <c r="G23" s="162"/>
      <c r="H23" s="163"/>
      <c r="I23" s="111"/>
      <c r="J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11"/>
      <c r="AD23" s="111"/>
    </row>
    <row r="24" spans="1:50" s="110" customFormat="1" x14ac:dyDescent="0.25">
      <c r="A24" s="159" t="s">
        <v>85</v>
      </c>
      <c r="B24" s="160"/>
      <c r="C24" s="160"/>
      <c r="D24" s="160"/>
      <c r="E24" s="164"/>
      <c r="F24" s="165"/>
      <c r="G24" s="165"/>
      <c r="H24" s="166"/>
      <c r="I24" s="123"/>
      <c r="J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11"/>
    </row>
    <row r="25" spans="1:50" s="110" customFormat="1" x14ac:dyDescent="0.25">
      <c r="A25" s="167" t="s">
        <v>86</v>
      </c>
      <c r="B25" s="168"/>
      <c r="C25" s="168"/>
      <c r="D25" s="168"/>
      <c r="E25" s="216">
        <v>15</v>
      </c>
      <c r="F25" s="217"/>
      <c r="G25" s="217"/>
      <c r="H25" s="218"/>
      <c r="I25" s="111"/>
      <c r="J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11"/>
    </row>
    <row r="26" spans="1:50" s="110" customFormat="1" ht="15.75" thickBot="1" x14ac:dyDescent="0.3">
      <c r="A26" s="180"/>
      <c r="B26" s="181"/>
      <c r="C26" s="181"/>
      <c r="D26" s="181"/>
      <c r="E26" s="219"/>
      <c r="F26" s="220"/>
      <c r="G26" s="220"/>
      <c r="H26" s="221"/>
      <c r="I26" s="111"/>
      <c r="J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11"/>
      <c r="AS26" s="111"/>
      <c r="AT26" s="111"/>
      <c r="AU26" s="111"/>
      <c r="AV26" s="111"/>
      <c r="AW26" s="111"/>
      <c r="AX26" s="111"/>
    </row>
    <row r="27" spans="1:50" s="110" customFormat="1" x14ac:dyDescent="0.25">
      <c r="I27" s="111"/>
      <c r="J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11"/>
      <c r="AS27" s="111"/>
      <c r="AT27" s="111"/>
      <c r="AU27" s="111"/>
      <c r="AV27" s="111"/>
      <c r="AW27" s="111"/>
      <c r="AX27" s="111"/>
    </row>
    <row r="28" spans="1:50" s="110" customFormat="1" x14ac:dyDescent="0.25">
      <c r="I28" s="111"/>
      <c r="J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11"/>
      <c r="AS28" s="111"/>
      <c r="AT28" s="111"/>
      <c r="AU28" s="111"/>
      <c r="AV28" s="111"/>
      <c r="AW28" s="111"/>
      <c r="AX28" s="111"/>
    </row>
    <row r="29" spans="1:50" s="110" customFormat="1" x14ac:dyDescent="0.25">
      <c r="I29" s="111"/>
      <c r="J29" s="123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S29" s="111"/>
      <c r="AT29" s="111"/>
      <c r="AU29" s="111"/>
      <c r="AV29" s="111"/>
      <c r="AW29" s="111"/>
      <c r="AX29" s="111"/>
    </row>
    <row r="30" spans="1:50" s="110" customFormat="1" x14ac:dyDescent="0.25">
      <c r="B30" s="124"/>
      <c r="C30" s="124"/>
      <c r="D30" s="124"/>
      <c r="E30" s="124"/>
      <c r="F30" s="124"/>
      <c r="G30" s="124"/>
      <c r="H30" s="124"/>
      <c r="I30" s="124"/>
      <c r="J30" s="137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S30" s="111"/>
      <c r="AT30" s="111"/>
      <c r="AU30" s="111"/>
      <c r="AV30" s="111"/>
      <c r="AW30" s="111"/>
      <c r="AX30" s="111"/>
    </row>
    <row r="31" spans="1:50" s="110" customFormat="1" x14ac:dyDescent="0.25">
      <c r="L31" s="126" cm="1">
        <f t="array" ref="L31:AC31">IF(I49=1,"",IF(AD59=1,_r1e,IF(AD59=6,_r1m,IF(AD59=2,_r2e,IF(AD59=7,_r2m,IF(AD59=3,_r3e,IF(AD59=8,_r3m,IF(AD59=4,_r4e,IF(AD59=9,_r4m,IF(AD59=5,_r5e,IF(AD59=10,_r5m,"")))))))))))</f>
        <v>1</v>
      </c>
      <c r="M31" s="110" t="str">
        <v xml:space="preserve"> </v>
      </c>
      <c r="N31" s="110">
        <v>2</v>
      </c>
      <c r="O31" s="110" t="str">
        <v xml:space="preserve"> </v>
      </c>
      <c r="P31" s="110" t="str">
        <v>…</v>
      </c>
      <c r="Q31" s="110" t="str">
        <v xml:space="preserve"> </v>
      </c>
      <c r="R31" s="110" t="str">
        <v>…</v>
      </c>
      <c r="S31" s="110" t="str">
        <v xml:space="preserve"> </v>
      </c>
      <c r="T31" s="110" t="str">
        <v>…</v>
      </c>
      <c r="U31" s="110" t="str">
        <v xml:space="preserve"> </v>
      </c>
      <c r="V31" s="110" t="str">
        <v>…</v>
      </c>
      <c r="W31" s="110" t="str">
        <v xml:space="preserve"> </v>
      </c>
      <c r="X31" s="110" t="str">
        <v>…</v>
      </c>
      <c r="Y31" s="110" t="str">
        <v xml:space="preserve"> </v>
      </c>
      <c r="Z31" s="110" t="str">
        <v>…</v>
      </c>
      <c r="AA31" s="110" t="str">
        <v xml:space="preserve"> </v>
      </c>
      <c r="AB31" s="110">
        <v>13</v>
      </c>
      <c r="AC31" s="110">
        <v>14</v>
      </c>
      <c r="AS31" s="111"/>
      <c r="AT31" s="111"/>
      <c r="AU31" s="111"/>
      <c r="AV31" s="111"/>
      <c r="AW31" s="111"/>
      <c r="AX31" s="111"/>
    </row>
    <row r="32" spans="1:50" s="110" customFormat="1" x14ac:dyDescent="0.25">
      <c r="A32" s="144" t="s">
        <v>99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</row>
    <row r="33" spans="1:40" s="110" customFormat="1" x14ac:dyDescent="0.25">
      <c r="A33" s="144" t="s">
        <v>102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Z33" s="111"/>
      <c r="AA33" s="111"/>
      <c r="AB33" s="111"/>
      <c r="AC33" s="111"/>
    </row>
    <row r="34" spans="1:40" s="92" customFormat="1" hidden="1" x14ac:dyDescent="0.25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Z34" s="93"/>
      <c r="AA34" s="93"/>
      <c r="AB34" s="93"/>
    </row>
    <row r="35" spans="1:40" s="3" customFormat="1" ht="15" hidden="1" customHeight="1" x14ac:dyDescent="0.25">
      <c r="A35" s="1"/>
      <c r="B35" s="1"/>
      <c r="C35" s="1"/>
      <c r="D35" s="1"/>
      <c r="G35" s="215" t="s">
        <v>72</v>
      </c>
      <c r="H35" s="215"/>
      <c r="I35" s="215">
        <v>10000</v>
      </c>
      <c r="J35" s="206"/>
      <c r="K35" s="184" t="s">
        <v>56</v>
      </c>
      <c r="L35" s="185"/>
      <c r="M35" s="184" t="s">
        <v>12</v>
      </c>
      <c r="N35" s="185"/>
      <c r="O35" s="184" t="s">
        <v>24</v>
      </c>
      <c r="P35" s="185"/>
      <c r="Q35" s="184" t="s">
        <v>25</v>
      </c>
      <c r="R35" s="185"/>
      <c r="S35" s="184" t="s">
        <v>22</v>
      </c>
      <c r="T35" s="203"/>
      <c r="U35" s="184" t="s">
        <v>23</v>
      </c>
      <c r="V35" s="185"/>
      <c r="W35" s="203" t="s">
        <v>26</v>
      </c>
      <c r="X35" s="185"/>
      <c r="Y35" s="207" t="s">
        <v>27</v>
      </c>
      <c r="Z35" s="207"/>
      <c r="AA35" s="184" t="s">
        <v>28</v>
      </c>
      <c r="AB35" s="185"/>
      <c r="AC35" s="184" t="s">
        <v>29</v>
      </c>
      <c r="AD35" s="185"/>
      <c r="AE35" s="233" t="s">
        <v>15</v>
      </c>
      <c r="AF35" s="234"/>
      <c r="AG35" s="234"/>
      <c r="AH35" s="234"/>
    </row>
    <row r="36" spans="1:40" s="3" customFormat="1" ht="15.75" hidden="1" thickBot="1" x14ac:dyDescent="0.3">
      <c r="A36" s="203" t="s">
        <v>6</v>
      </c>
      <c r="B36" s="203"/>
      <c r="C36" s="203"/>
      <c r="D36" s="203"/>
      <c r="E36" s="203"/>
      <c r="F36" s="203"/>
      <c r="G36" s="3">
        <f>IF(E19="",1,0)</f>
        <v>0</v>
      </c>
      <c r="H36" s="205" t="b">
        <f>ISTEXT(E19)</f>
        <v>0</v>
      </c>
      <c r="I36" s="205"/>
      <c r="J36" s="206"/>
      <c r="K36" s="5"/>
      <c r="L36" s="6"/>
      <c r="M36" s="7" t="s">
        <v>14</v>
      </c>
      <c r="N36" s="8" t="s">
        <v>13</v>
      </c>
      <c r="O36" s="5"/>
      <c r="P36" s="6"/>
      <c r="Q36" s="7" t="s">
        <v>14</v>
      </c>
      <c r="R36" s="8" t="s">
        <v>13</v>
      </c>
      <c r="S36" s="9"/>
      <c r="T36" s="10"/>
      <c r="U36" s="7" t="s">
        <v>14</v>
      </c>
      <c r="V36" s="8" t="s">
        <v>13</v>
      </c>
      <c r="W36" s="10"/>
      <c r="X36" s="11"/>
      <c r="Y36" s="22" t="s">
        <v>14</v>
      </c>
      <c r="Z36" s="22" t="s">
        <v>13</v>
      </c>
      <c r="AA36" s="7"/>
      <c r="AB36" s="8"/>
      <c r="AC36" s="7" t="s">
        <v>14</v>
      </c>
      <c r="AD36" s="8" t="s">
        <v>13</v>
      </c>
      <c r="AE36" s="233"/>
      <c r="AF36" s="234"/>
      <c r="AG36" s="234"/>
      <c r="AH36" s="234"/>
    </row>
    <row r="37" spans="1:40" s="3" customFormat="1" hidden="1" x14ac:dyDescent="0.25">
      <c r="A37" s="208" t="s">
        <v>73</v>
      </c>
      <c r="B37" s="209"/>
      <c r="C37" s="209"/>
      <c r="D37" s="208" t="s">
        <v>5</v>
      </c>
      <c r="E37" s="209"/>
      <c r="F37" s="210"/>
      <c r="G37" s="3">
        <f>IF(E25="",1,0)</f>
        <v>0</v>
      </c>
      <c r="H37" s="205" t="b">
        <f>ISTEXT(E25)</f>
        <v>0</v>
      </c>
      <c r="I37" s="205"/>
      <c r="J37" s="206"/>
      <c r="K37" s="184">
        <f>IF(H38=1,0,($E$19-K49-K50)+K47)</f>
        <v>93.93</v>
      </c>
      <c r="L37" s="185"/>
      <c r="M37" s="12">
        <f>IF(H38=1,0,($E$19-M49-M50)/2+M47)</f>
        <v>45.5</v>
      </c>
      <c r="N37" s="38">
        <f>IF(H38=1,0,($E$19-M49-M50)/2+N47)</f>
        <v>45.5</v>
      </c>
      <c r="O37" s="207">
        <f>IF(H38=1,0,($E$19-O49-O50)+O47)</f>
        <v>98.200000000000017</v>
      </c>
      <c r="P37" s="185"/>
      <c r="Q37" s="12">
        <f>IF(H38=1,0,($E$19-Q49-Q50)/2+Q47)</f>
        <v>49.350000000000009</v>
      </c>
      <c r="R37" s="38">
        <f>IF(H38=1,0,($E$19-Q49-Q50)/2+R47)</f>
        <v>49.350000000000009</v>
      </c>
      <c r="S37" s="207">
        <f>IF(H38=1,0,($E$19-S49-S50)+S47)</f>
        <v>91.8</v>
      </c>
      <c r="T37" s="185"/>
      <c r="U37" s="12">
        <f>IF(H38=1,0,($E$19-U49-U50)/2+U47)</f>
        <v>46.25</v>
      </c>
      <c r="V37" s="42">
        <f>IF(H38=1,0,($E$19-U49-U50)/2+V47)</f>
        <v>46.25</v>
      </c>
      <c r="W37" s="207">
        <f>IF(H38=1,0,($E$19-W49-W50)+W47)</f>
        <v>75.3</v>
      </c>
      <c r="X37" s="185"/>
      <c r="Y37" s="12">
        <f>IF(H38=1,0,($E$19-Y49-Y50)/2+Y47)</f>
        <v>38</v>
      </c>
      <c r="Z37" s="42">
        <f>IF(H38=1,0,($E$19-Y49-Y50)/2+Z47)</f>
        <v>38</v>
      </c>
      <c r="AA37" s="207">
        <f>IF(H38=1,0,($E$19-AA49-AA50)+AA47)</f>
        <v>87.3</v>
      </c>
      <c r="AB37" s="185"/>
      <c r="AC37" s="12">
        <f>IF(H38=1,0,($E$19-AC49-AC50)/2+AC47)</f>
        <v>38.799999999999997</v>
      </c>
      <c r="AD37" s="42">
        <f>IF(H38=1,0,($E$19-AC49-AC50)/2+AD47)</f>
        <v>38.799999999999997</v>
      </c>
      <c r="AE37" s="13" t="s">
        <v>4</v>
      </c>
      <c r="AF37" s="20"/>
      <c r="AG37" s="4"/>
      <c r="AH37" s="4"/>
    </row>
    <row r="38" spans="1:40" s="3" customFormat="1" hidden="1" x14ac:dyDescent="0.25">
      <c r="A38" s="202" t="s">
        <v>74</v>
      </c>
      <c r="B38" s="203"/>
      <c r="C38" s="203"/>
      <c r="D38" s="202" t="s">
        <v>67</v>
      </c>
      <c r="E38" s="203"/>
      <c r="F38" s="204"/>
      <c r="G38" s="90"/>
      <c r="H38" s="91">
        <f>IF(H36=1,1,0)</f>
        <v>0</v>
      </c>
      <c r="I38" s="213">
        <f>IF(E21=A37,I39,IF(E21=A38,I40,I41))</f>
        <v>7.9129574678536105</v>
      </c>
      <c r="J38" s="214"/>
      <c r="K38" s="184">
        <f>K37/$I$38</f>
        <v>11.870403750000001</v>
      </c>
      <c r="L38" s="185"/>
      <c r="M38" s="36">
        <f>M37/I38</f>
        <v>5.7500624999999994</v>
      </c>
      <c r="N38" s="38">
        <f>N37/$I$38</f>
        <v>5.7500624999999994</v>
      </c>
      <c r="O38" s="207">
        <f>O37/$I$38</f>
        <v>12.410025000000001</v>
      </c>
      <c r="P38" s="185"/>
      <c r="Q38" s="36">
        <f>Q37/$I$38</f>
        <v>6.2366062500000012</v>
      </c>
      <c r="R38" s="38">
        <f>R37/$I$38</f>
        <v>6.2366062500000012</v>
      </c>
      <c r="S38" s="207">
        <f>S37/$I$38</f>
        <v>11.601224999999999</v>
      </c>
      <c r="T38" s="185"/>
      <c r="U38" s="41">
        <f>U37/$I$38</f>
        <v>5.8448437499999999</v>
      </c>
      <c r="V38" s="42">
        <f>V37/$I$38</f>
        <v>5.8448437499999999</v>
      </c>
      <c r="W38" s="207">
        <f>W37/$I$38</f>
        <v>9.5160374999999995</v>
      </c>
      <c r="X38" s="185"/>
      <c r="Y38" s="41">
        <f>Y37/$I$38</f>
        <v>4.8022499999999999</v>
      </c>
      <c r="Z38" s="42">
        <f>Z37/$I$38</f>
        <v>4.8022499999999999</v>
      </c>
      <c r="AA38" s="207">
        <f>AA37/$I$38</f>
        <v>11.0325375</v>
      </c>
      <c r="AB38" s="185"/>
      <c r="AC38" s="41">
        <f>AC37/$I$38</f>
        <v>4.9033499999999997</v>
      </c>
      <c r="AD38" s="42">
        <f>AD37/$I$38</f>
        <v>4.9033499999999997</v>
      </c>
      <c r="AE38" s="13" t="s">
        <v>0</v>
      </c>
      <c r="AF38" s="20"/>
      <c r="AG38" s="20"/>
      <c r="AH38" s="20"/>
    </row>
    <row r="39" spans="1:40" s="3" customFormat="1" ht="15.75" hidden="1" thickBot="1" x14ac:dyDescent="0.3">
      <c r="A39" s="199" t="s">
        <v>75</v>
      </c>
      <c r="B39" s="200"/>
      <c r="C39" s="200"/>
      <c r="D39" s="202" t="s">
        <v>21</v>
      </c>
      <c r="E39" s="203"/>
      <c r="F39" s="204"/>
      <c r="G39" s="212">
        <v>1</v>
      </c>
      <c r="H39" s="212"/>
      <c r="I39" s="211">
        <f>270/49.5</f>
        <v>5.4545454545454541</v>
      </c>
      <c r="J39" s="189"/>
      <c r="K39" s="184">
        <f>IF($H$49=0,CEILING(K38,1),FLOOR(K38,1))</f>
        <v>12</v>
      </c>
      <c r="L39" s="203"/>
      <c r="M39" s="36">
        <f>IF($H$49=0,CEILING(M38,1),FLOOR(M38,1))</f>
        <v>6</v>
      </c>
      <c r="N39" s="37">
        <f>IF($H$49=0,CEILING(N38,1),FLOOR(N38,1))</f>
        <v>6</v>
      </c>
      <c r="O39" s="184">
        <f>IF($H$49=0,CEILING(O38+1,1),FLOOR(O38,1))</f>
        <v>14</v>
      </c>
      <c r="P39" s="185"/>
      <c r="Q39" s="94">
        <f>IF($H$49=0,CEILING(Q38,1),FLOOR(Q38,1))</f>
        <v>7</v>
      </c>
      <c r="R39" s="96">
        <f>IF($H$49=0,CEILING(R38,1),FLOOR(R38,1))</f>
        <v>7</v>
      </c>
      <c r="S39" s="184">
        <f>IF($H$49=0,CEILING(S38+1,1),FLOOR(S38,1))</f>
        <v>13</v>
      </c>
      <c r="T39" s="185"/>
      <c r="U39" s="97">
        <f>IF($H$49=0,CEILING(U38,1),FLOOR(U38,1))</f>
        <v>6</v>
      </c>
      <c r="V39" s="99">
        <f>IF($H$49=0,CEILING(V38,1),FLOOR(V38,1))</f>
        <v>6</v>
      </c>
      <c r="W39" s="184">
        <f>IF($H$49=0,CEILING(W38+1,1),FLOOR(W38,1))</f>
        <v>11</v>
      </c>
      <c r="X39" s="185"/>
      <c r="Y39" s="97">
        <f>IF($H$49=0,CEILING(Y38,1),FLOOR(Y38,1))</f>
        <v>5</v>
      </c>
      <c r="Z39" s="99">
        <f>IF($H$49=0,CEILING(Z38,1),FLOOR(Z38,1))</f>
        <v>5</v>
      </c>
      <c r="AA39" s="184">
        <f>IF($H$49=0,CEILING(AA38+1,1),FLOOR(AA38,1))</f>
        <v>13</v>
      </c>
      <c r="AB39" s="185"/>
      <c r="AC39" s="97">
        <f>IF($H$49=0,CEILING(AC38,1),FLOOR(AC38,1))</f>
        <v>5</v>
      </c>
      <c r="AD39" s="99">
        <f>IF($H$49=0,CEILING(AD38,1),FLOOR(AD38,1))</f>
        <v>5</v>
      </c>
      <c r="AE39" s="13" t="s">
        <v>54</v>
      </c>
      <c r="AF39" s="20"/>
      <c r="AG39" s="21"/>
      <c r="AH39" s="21"/>
    </row>
    <row r="40" spans="1:40" s="3" customFormat="1" hidden="1" x14ac:dyDescent="0.25">
      <c r="A40" s="208" t="s">
        <v>87</v>
      </c>
      <c r="B40" s="209"/>
      <c r="C40" s="210"/>
      <c r="D40" s="202" t="s">
        <v>20</v>
      </c>
      <c r="E40" s="203"/>
      <c r="F40" s="204"/>
      <c r="G40" s="212">
        <v>0.8</v>
      </c>
      <c r="H40" s="212"/>
      <c r="I40" s="211">
        <f>300/50.6</f>
        <v>5.928853754940711</v>
      </c>
      <c r="J40" s="189"/>
      <c r="K40" s="184">
        <f>IF($H$49=0,EVEN(K39),K39+2)</f>
        <v>12</v>
      </c>
      <c r="L40" s="185"/>
      <c r="M40" s="36">
        <f>IF($H$49=0,EVEN(M39),M39+2)</f>
        <v>6</v>
      </c>
      <c r="N40" s="38">
        <f>IF($H$49=0,EVEN(N39),N39+2)</f>
        <v>6</v>
      </c>
      <c r="O40" s="184">
        <f>IF($H$49=0,EVEN(O39),O39+3)</f>
        <v>14</v>
      </c>
      <c r="P40" s="185"/>
      <c r="Q40" s="94">
        <f>IF($H$49=0,EVEN(Q39),Q39+2)</f>
        <v>8</v>
      </c>
      <c r="R40" s="95">
        <f>IF($H$49=0,EVEN(R39),R39+2)</f>
        <v>8</v>
      </c>
      <c r="S40" s="184">
        <f>IF($H$49=0,EVEN(S39),S39+3)</f>
        <v>14</v>
      </c>
      <c r="T40" s="185"/>
      <c r="U40" s="97">
        <f>IF($H$49=0,EVEN(U39),U39+2)</f>
        <v>6</v>
      </c>
      <c r="V40" s="98">
        <f>IF($H$49=0,EVEN(V39),V39+2)</f>
        <v>6</v>
      </c>
      <c r="W40" s="184">
        <f>IF($H$49=0,EVEN(W39),W39+3)</f>
        <v>12</v>
      </c>
      <c r="X40" s="185"/>
      <c r="Y40" s="97">
        <f>IF($H$49=0,EVEN(Y39),Y39+2)</f>
        <v>6</v>
      </c>
      <c r="Z40" s="98">
        <f>IF($H$49=0,EVEN(Z39),Z39+2)</f>
        <v>6</v>
      </c>
      <c r="AA40" s="184">
        <f>IF($H$49=0,ODD(AA39),AA39+3)</f>
        <v>13</v>
      </c>
      <c r="AB40" s="185"/>
      <c r="AC40" s="97">
        <f>IF($H$49=0,ODD(AC39),AC39+2)</f>
        <v>5</v>
      </c>
      <c r="AD40" s="98">
        <f>IF($H$49=0,ODD(AD39),AD39+2)</f>
        <v>5</v>
      </c>
      <c r="AE40" s="13" t="s">
        <v>3</v>
      </c>
      <c r="AF40" s="20"/>
      <c r="AG40" s="21"/>
      <c r="AH40" s="21"/>
    </row>
    <row r="41" spans="1:40" s="3" customFormat="1" ht="15.75" hidden="1" thickBot="1" x14ac:dyDescent="0.3">
      <c r="A41" s="226" t="s">
        <v>88</v>
      </c>
      <c r="B41" s="227"/>
      <c r="C41" s="228"/>
      <c r="D41" s="226" t="s">
        <v>107</v>
      </c>
      <c r="E41" s="227"/>
      <c r="F41" s="228"/>
      <c r="G41" s="229">
        <v>0.6</v>
      </c>
      <c r="H41" s="229"/>
      <c r="I41" s="222">
        <f>400/50.55</f>
        <v>7.9129574678536105</v>
      </c>
      <c r="J41" s="223"/>
      <c r="K41" s="188">
        <v>2</v>
      </c>
      <c r="L41" s="189"/>
      <c r="M41" s="34">
        <v>2</v>
      </c>
      <c r="N41" s="35">
        <v>1</v>
      </c>
      <c r="O41" s="188">
        <v>0</v>
      </c>
      <c r="P41" s="189"/>
      <c r="Q41" s="39">
        <v>0</v>
      </c>
      <c r="R41" s="35">
        <v>0</v>
      </c>
      <c r="S41" s="188">
        <v>2</v>
      </c>
      <c r="T41" s="189"/>
      <c r="U41" s="44">
        <v>2</v>
      </c>
      <c r="V41" s="43">
        <v>1</v>
      </c>
      <c r="W41" s="188">
        <v>1</v>
      </c>
      <c r="X41" s="189"/>
      <c r="Y41" s="44">
        <v>1</v>
      </c>
      <c r="Z41" s="43">
        <v>1</v>
      </c>
      <c r="AA41" s="188">
        <v>1</v>
      </c>
      <c r="AB41" s="189"/>
      <c r="AC41" s="39">
        <v>1</v>
      </c>
      <c r="AD41" s="35">
        <v>1</v>
      </c>
      <c r="AE41" s="13" t="s">
        <v>55</v>
      </c>
      <c r="AF41" s="50"/>
      <c r="AG41" s="20"/>
      <c r="AH41" s="20"/>
    </row>
    <row r="42" spans="1:40" s="3" customFormat="1" ht="15" hidden="1" customHeight="1" x14ac:dyDescent="0.25">
      <c r="A42" s="196" t="s">
        <v>103</v>
      </c>
      <c r="B42" s="197"/>
      <c r="C42" s="198"/>
      <c r="D42" s="196" t="s">
        <v>1</v>
      </c>
      <c r="E42" s="197"/>
      <c r="F42" s="198"/>
      <c r="G42" s="215" t="s">
        <v>62</v>
      </c>
      <c r="H42" s="215"/>
      <c r="I42" s="222">
        <f>IF(E15=D42,1000,500)</f>
        <v>500</v>
      </c>
      <c r="J42" s="223"/>
      <c r="K42" s="192">
        <f>K41+K40</f>
        <v>14</v>
      </c>
      <c r="L42" s="193"/>
      <c r="M42" s="16">
        <f>M40+M41</f>
        <v>8</v>
      </c>
      <c r="N42" s="56">
        <f>N40+N41</f>
        <v>7</v>
      </c>
      <c r="O42" s="192">
        <f>O40+O41</f>
        <v>14</v>
      </c>
      <c r="P42" s="193"/>
      <c r="Q42" s="16">
        <f>Q40+Q41</f>
        <v>8</v>
      </c>
      <c r="R42" s="56">
        <f>R40+R41</f>
        <v>8</v>
      </c>
      <c r="S42" s="192">
        <f>S40+S41</f>
        <v>16</v>
      </c>
      <c r="T42" s="193"/>
      <c r="U42" s="16">
        <f>U40+U41</f>
        <v>8</v>
      </c>
      <c r="V42" s="56">
        <f>V40+V41</f>
        <v>7</v>
      </c>
      <c r="W42" s="192">
        <f>W40+W41</f>
        <v>13</v>
      </c>
      <c r="X42" s="193"/>
      <c r="Y42" s="16">
        <f>Y40+Y41</f>
        <v>7</v>
      </c>
      <c r="Z42" s="56">
        <f>Z40+Z41</f>
        <v>7</v>
      </c>
      <c r="AA42" s="192">
        <f>AA40+AA41</f>
        <v>14</v>
      </c>
      <c r="AB42" s="193"/>
      <c r="AC42" s="52">
        <f>AC40+AC41</f>
        <v>6</v>
      </c>
      <c r="AD42" s="51">
        <f>AD40+AD41</f>
        <v>6</v>
      </c>
      <c r="AE42" s="233" t="s">
        <v>59</v>
      </c>
      <c r="AF42" s="234"/>
      <c r="AG42" s="234"/>
      <c r="AH42" s="234"/>
    </row>
    <row r="43" spans="1:40" s="3" customFormat="1" ht="15.75" hidden="1" thickBot="1" x14ac:dyDescent="0.3">
      <c r="A43" s="199" t="s">
        <v>104</v>
      </c>
      <c r="B43" s="200"/>
      <c r="C43" s="201"/>
      <c r="D43" s="199" t="s">
        <v>66</v>
      </c>
      <c r="E43" s="200"/>
      <c r="F43" s="201"/>
      <c r="G43" s="182" t="s">
        <v>68</v>
      </c>
      <c r="H43" s="182"/>
      <c r="I43" s="74">
        <v>1.1000000000000001</v>
      </c>
      <c r="J43" s="77">
        <f>K43+M43+O43+Q43+S43+U43+W43+Y43+AA43+AC43</f>
        <v>14</v>
      </c>
      <c r="K43" s="186">
        <f>IF($AD$58=1,K42,0)</f>
        <v>14</v>
      </c>
      <c r="L43" s="186"/>
      <c r="M43" s="52">
        <f>IF($AD$58=6,M42,0)</f>
        <v>0</v>
      </c>
      <c r="N43" s="52">
        <f>IF($AD$58=6,N42,0)</f>
        <v>0</v>
      </c>
      <c r="O43" s="186">
        <f>IF($AD$58=2,O42,0)</f>
        <v>0</v>
      </c>
      <c r="P43" s="186"/>
      <c r="Q43" s="52">
        <f>IF($AD$58=7,Q42,0)</f>
        <v>0</v>
      </c>
      <c r="R43" s="52">
        <f>IF($AD$58=7,R42,0)</f>
        <v>0</v>
      </c>
      <c r="S43" s="186">
        <f>IF($AD$58=3,S42,0)</f>
        <v>0</v>
      </c>
      <c r="T43" s="186"/>
      <c r="U43" s="52">
        <f>IF($AD$58=8,U42,0)</f>
        <v>0</v>
      </c>
      <c r="V43" s="52">
        <f>IF($AD$58=8,V42,0)</f>
        <v>0</v>
      </c>
      <c r="W43" s="186">
        <f>IF($AD$58=4,W42,0)</f>
        <v>0</v>
      </c>
      <c r="X43" s="186"/>
      <c r="Y43" s="52">
        <f>IF($AD$58=9,Y42,0)</f>
        <v>0</v>
      </c>
      <c r="Z43" s="52">
        <f>IF($AD$58=9,Z42,0)</f>
        <v>0</v>
      </c>
      <c r="AA43" s="186">
        <f>IF($AD$58=5,AA42,0)</f>
        <v>0</v>
      </c>
      <c r="AB43" s="186"/>
      <c r="AC43" s="52">
        <f>IF($AD$58=10,AC42,0)</f>
        <v>0</v>
      </c>
      <c r="AD43" s="52">
        <f>IF($AD$58=10,AD42,0)</f>
        <v>0</v>
      </c>
      <c r="AE43" s="233"/>
      <c r="AF43" s="234"/>
      <c r="AG43" s="234"/>
      <c r="AH43" s="234"/>
    </row>
    <row r="44" spans="1:40" s="3" customFormat="1" hidden="1" x14ac:dyDescent="0.25">
      <c r="G44" s="230" t="s">
        <v>69</v>
      </c>
      <c r="H44" s="186"/>
      <c r="I44" s="75">
        <v>1.38</v>
      </c>
      <c r="J44" s="78">
        <f>N43+R43+V43+Z43+AD43</f>
        <v>0</v>
      </c>
      <c r="K44" s="190">
        <v>0</v>
      </c>
      <c r="L44" s="191"/>
      <c r="M44" s="47">
        <v>0</v>
      </c>
      <c r="N44" s="48">
        <v>1</v>
      </c>
      <c r="O44" s="190">
        <v>0</v>
      </c>
      <c r="P44" s="191"/>
      <c r="Q44" s="49">
        <v>0</v>
      </c>
      <c r="R44" s="48">
        <v>0</v>
      </c>
      <c r="S44" s="190">
        <v>0</v>
      </c>
      <c r="T44" s="191"/>
      <c r="U44" s="49">
        <v>0</v>
      </c>
      <c r="V44" s="48">
        <v>1</v>
      </c>
      <c r="W44" s="190">
        <v>2</v>
      </c>
      <c r="X44" s="191"/>
      <c r="Y44" s="49">
        <v>2</v>
      </c>
      <c r="Z44" s="48">
        <v>2</v>
      </c>
      <c r="AA44" s="190">
        <v>2</v>
      </c>
      <c r="AB44" s="191"/>
      <c r="AC44" s="49">
        <v>2</v>
      </c>
      <c r="AD44" s="48">
        <v>2</v>
      </c>
      <c r="AE44" s="13" t="s">
        <v>57</v>
      </c>
      <c r="AF44" s="20"/>
      <c r="AG44" s="20"/>
      <c r="AH44" s="20"/>
    </row>
    <row r="45" spans="1:40" s="3" customFormat="1" ht="15.75" hidden="1" thickBot="1" x14ac:dyDescent="0.3">
      <c r="A45" s="200" t="s">
        <v>106</v>
      </c>
      <c r="B45" s="200"/>
      <c r="C45" s="200"/>
      <c r="D45" s="200"/>
      <c r="E45" s="200"/>
      <c r="F45" s="200"/>
      <c r="G45" s="102" t="s">
        <v>101</v>
      </c>
      <c r="I45" s="76">
        <f>IF(E15=D42,I43,I44)</f>
        <v>1.38</v>
      </c>
      <c r="J45" s="79">
        <f>SUM(K45:AD45)</f>
        <v>14</v>
      </c>
      <c r="K45" s="194">
        <f>IF(AD58=1,K42+K44,0)</f>
        <v>14</v>
      </c>
      <c r="L45" s="194"/>
      <c r="M45" s="194">
        <f>IF(AD58=6,M42+M44,0)</f>
        <v>0</v>
      </c>
      <c r="N45" s="194"/>
      <c r="O45" s="194">
        <f>IF(AD58=2,O42+O44,0)</f>
        <v>0</v>
      </c>
      <c r="P45" s="194"/>
      <c r="Q45" s="194">
        <f>IF(AD58=7,Q42+Q44,0)</f>
        <v>0</v>
      </c>
      <c r="R45" s="194"/>
      <c r="S45" s="194">
        <f>IF(AD58=3,S42+S41,0)</f>
        <v>0</v>
      </c>
      <c r="T45" s="194"/>
      <c r="U45" s="194">
        <f>IF(AD58=8,U42+U44,0)</f>
        <v>0</v>
      </c>
      <c r="V45" s="194"/>
      <c r="W45" s="194">
        <f>IF(AD58=4,W42+W44,0)</f>
        <v>0</v>
      </c>
      <c r="X45" s="194"/>
      <c r="Y45" s="194">
        <f>IF(AD58=9,Y42+Y44,0)</f>
        <v>0</v>
      </c>
      <c r="Z45" s="194"/>
      <c r="AA45" s="194">
        <f>IF(AD58=5,AA42+AA44,0)</f>
        <v>0</v>
      </c>
      <c r="AB45" s="194"/>
      <c r="AC45" s="194">
        <f>IF(AD58=10,AC42+AC44,0)</f>
        <v>0</v>
      </c>
      <c r="AD45" s="232"/>
      <c r="AE45" s="18" t="s">
        <v>47</v>
      </c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s="3" customFormat="1" hidden="1" x14ac:dyDescent="0.25">
      <c r="A46" s="197" t="s">
        <v>2</v>
      </c>
      <c r="B46" s="197"/>
      <c r="C46" s="197"/>
      <c r="D46" s="197" t="s">
        <v>104</v>
      </c>
      <c r="E46" s="197"/>
      <c r="F46" s="197"/>
      <c r="G46" s="107" t="s">
        <v>100</v>
      </c>
      <c r="H46" s="91">
        <f>IF(Blad3!A1=223606797,1,IF(D46=A42,1,0))</f>
        <v>0</v>
      </c>
      <c r="I46" s="84">
        <f>IF(H37=TRUE,0,(J45*E25)+E25)</f>
        <v>225</v>
      </c>
      <c r="J46" s="80">
        <f>M46+Q46+U46+Y46+AC46</f>
        <v>0</v>
      </c>
      <c r="K46" s="186" t="s">
        <v>19</v>
      </c>
      <c r="L46" s="186"/>
      <c r="M46" s="186">
        <f>IF(AD58=6,N42+N44,0)</f>
        <v>0</v>
      </c>
      <c r="N46" s="186"/>
      <c r="O46" s="186" t="s">
        <v>19</v>
      </c>
      <c r="P46" s="186"/>
      <c r="Q46" s="186">
        <f>IF(AD58=7,R42+R44,0)</f>
        <v>0</v>
      </c>
      <c r="R46" s="186"/>
      <c r="S46" s="186" t="s">
        <v>19</v>
      </c>
      <c r="T46" s="186"/>
      <c r="U46" s="186">
        <f>IF(AD58=8,V42+V44,0)</f>
        <v>0</v>
      </c>
      <c r="V46" s="186"/>
      <c r="W46" s="186" t="s">
        <v>19</v>
      </c>
      <c r="X46" s="186"/>
      <c r="Y46" s="186">
        <f>IF(AD58=9,Z42+Z44,0)</f>
        <v>0</v>
      </c>
      <c r="Z46" s="186"/>
      <c r="AA46" s="186" t="s">
        <v>19</v>
      </c>
      <c r="AB46" s="186"/>
      <c r="AC46" s="186">
        <f>IF(AD58=10,AD42+AD44,0)</f>
        <v>0</v>
      </c>
      <c r="AD46" s="224"/>
      <c r="AE46" s="18" t="s">
        <v>48</v>
      </c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s="3" customFormat="1" hidden="1" x14ac:dyDescent="0.25">
      <c r="A47" s="215" t="s">
        <v>60</v>
      </c>
      <c r="B47" s="215"/>
      <c r="C47" s="215"/>
      <c r="D47" s="215" t="s">
        <v>104</v>
      </c>
      <c r="E47" s="215"/>
      <c r="F47" s="215"/>
      <c r="G47" s="107" t="s">
        <v>100</v>
      </c>
      <c r="H47" s="91">
        <f>IF(Blad3!A2=244948974,1,0)</f>
        <v>0</v>
      </c>
      <c r="I47" s="57">
        <f>IF(H37=TRUE,0,(J46*E25)+E25)</f>
        <v>15</v>
      </c>
      <c r="J47" s="69">
        <f>IF(H50=1,0,IF(D47=A42,0,1))</f>
        <v>1</v>
      </c>
      <c r="K47" s="188">
        <v>1.45</v>
      </c>
      <c r="L47" s="189"/>
      <c r="M47" s="45">
        <v>0.75</v>
      </c>
      <c r="N47" s="46">
        <v>0.75</v>
      </c>
      <c r="O47" s="225">
        <v>-1.6</v>
      </c>
      <c r="P47" s="189"/>
      <c r="Q47" s="2">
        <v>-0.55000000000000004</v>
      </c>
      <c r="R47" s="46">
        <v>-0.55000000000000004</v>
      </c>
      <c r="S47" s="225">
        <v>0.8</v>
      </c>
      <c r="T47" s="189"/>
      <c r="U47" s="2">
        <v>0.75</v>
      </c>
      <c r="V47" s="46">
        <v>0.75</v>
      </c>
      <c r="W47" s="225">
        <v>0.8</v>
      </c>
      <c r="X47" s="189"/>
      <c r="Y47" s="2">
        <v>0.75</v>
      </c>
      <c r="Z47" s="46">
        <v>0.75</v>
      </c>
      <c r="AA47" s="225">
        <v>-7.2</v>
      </c>
      <c r="AB47" s="189"/>
      <c r="AC47" s="2">
        <v>-7.2</v>
      </c>
      <c r="AD47" s="46">
        <v>-7.2</v>
      </c>
      <c r="AE47" s="1" t="s">
        <v>53</v>
      </c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s="3" customFormat="1" hidden="1" x14ac:dyDescent="0.25">
      <c r="A48" s="207" t="s">
        <v>70</v>
      </c>
      <c r="B48" s="207"/>
      <c r="C48" s="207"/>
      <c r="D48" s="215" t="s">
        <v>103</v>
      </c>
      <c r="E48" s="215"/>
      <c r="F48" s="215"/>
      <c r="G48" s="107" t="s">
        <v>105</v>
      </c>
      <c r="H48" s="108">
        <f>IF(Blad3!A3=264575131,1,0)</f>
        <v>0</v>
      </c>
      <c r="I48" s="59" t="s">
        <v>18</v>
      </c>
      <c r="J48" s="15">
        <f>IF(E17&lt;&gt;"",0,1)</f>
        <v>0</v>
      </c>
      <c r="K48" s="188">
        <v>0</v>
      </c>
      <c r="L48" s="189"/>
      <c r="M48" s="188">
        <v>0</v>
      </c>
      <c r="N48" s="189"/>
      <c r="O48" s="188">
        <v>0</v>
      </c>
      <c r="P48" s="189"/>
      <c r="Q48" s="188">
        <v>0</v>
      </c>
      <c r="R48" s="189"/>
      <c r="S48" s="188">
        <v>0</v>
      </c>
      <c r="T48" s="189"/>
      <c r="U48" s="188">
        <v>0</v>
      </c>
      <c r="V48" s="189"/>
      <c r="W48" s="188">
        <v>0</v>
      </c>
      <c r="X48" s="189"/>
      <c r="Y48" s="188">
        <v>0</v>
      </c>
      <c r="Z48" s="189"/>
      <c r="AA48" s="188">
        <v>0</v>
      </c>
      <c r="AB48" s="189"/>
      <c r="AC48" s="188">
        <v>0</v>
      </c>
      <c r="AD48" s="189"/>
      <c r="AE48" s="13" t="s">
        <v>63</v>
      </c>
      <c r="AF48" s="4"/>
      <c r="AG48" s="4"/>
      <c r="AH48" s="40"/>
      <c r="AI48" s="4"/>
      <c r="AJ48" s="40"/>
      <c r="AK48" s="40"/>
      <c r="AL48" s="4"/>
      <c r="AM48" s="4"/>
      <c r="AN48" s="40"/>
    </row>
    <row r="49" spans="1:45" s="3" customFormat="1" hidden="1" x14ac:dyDescent="0.25">
      <c r="H49" s="108">
        <f>IFERROR(H46,0)</f>
        <v>0</v>
      </c>
      <c r="I49" s="77">
        <f>IF(J48+J49+I50+I51+J50+G36+H38=0,0,1)</f>
        <v>0</v>
      </c>
      <c r="J49" s="14">
        <f>IF(E21&lt;&gt;"",0,1)</f>
        <v>0</v>
      </c>
      <c r="K49" s="188">
        <v>6.5</v>
      </c>
      <c r="L49" s="189"/>
      <c r="M49" s="188">
        <v>6.5</v>
      </c>
      <c r="N49" s="189"/>
      <c r="O49" s="188">
        <v>0.1</v>
      </c>
      <c r="P49" s="189"/>
      <c r="Q49" s="188">
        <v>0.1</v>
      </c>
      <c r="R49" s="189"/>
      <c r="S49" s="188">
        <v>6.5</v>
      </c>
      <c r="T49" s="189"/>
      <c r="U49" s="188">
        <v>6.5</v>
      </c>
      <c r="V49" s="189"/>
      <c r="W49" s="188">
        <v>13.5</v>
      </c>
      <c r="X49" s="189"/>
      <c r="Y49" s="188">
        <v>13.5</v>
      </c>
      <c r="Z49" s="189"/>
      <c r="AA49" s="188">
        <v>4</v>
      </c>
      <c r="AB49" s="189"/>
      <c r="AC49" s="188">
        <v>4</v>
      </c>
      <c r="AD49" s="189"/>
      <c r="AE49" s="18" t="s">
        <v>16</v>
      </c>
      <c r="AF49" s="4"/>
      <c r="AG49" s="4"/>
      <c r="AH49" s="40"/>
      <c r="AI49" s="4"/>
      <c r="AJ49" s="40"/>
      <c r="AK49" s="40"/>
      <c r="AL49" s="4"/>
      <c r="AM49" s="4"/>
      <c r="AN49" s="40"/>
    </row>
    <row r="50" spans="1:45" s="3" customFormat="1" hidden="1" x14ac:dyDescent="0.25">
      <c r="H50" s="107">
        <f>IFERROR(H47,0)</f>
        <v>0</v>
      </c>
      <c r="I50" s="99">
        <f>IF(E23&lt;&gt;"",0,1)</f>
        <v>0</v>
      </c>
      <c r="J50" s="17">
        <f>IF(SUM(L51,N51,P51,R51,T51,V51,X51,Z51,AB51,AD51)=0,0,1)</f>
        <v>0</v>
      </c>
      <c r="K50" s="188">
        <v>1.02</v>
      </c>
      <c r="L50" s="189"/>
      <c r="M50" s="188">
        <v>4</v>
      </c>
      <c r="N50" s="189"/>
      <c r="O50" s="188">
        <v>0.1</v>
      </c>
      <c r="P50" s="189"/>
      <c r="Q50" s="188">
        <v>0.1</v>
      </c>
      <c r="R50" s="189"/>
      <c r="S50" s="188">
        <v>2.5</v>
      </c>
      <c r="T50" s="189"/>
      <c r="U50" s="188">
        <v>2.5</v>
      </c>
      <c r="V50" s="189"/>
      <c r="W50" s="188">
        <v>12</v>
      </c>
      <c r="X50" s="189"/>
      <c r="Y50" s="188">
        <v>12</v>
      </c>
      <c r="Z50" s="189"/>
      <c r="AA50" s="188">
        <v>1.5</v>
      </c>
      <c r="AB50" s="189"/>
      <c r="AC50" s="188">
        <v>4</v>
      </c>
      <c r="AD50" s="189"/>
      <c r="AE50" s="18" t="s">
        <v>17</v>
      </c>
      <c r="AF50" s="4"/>
      <c r="AG50" s="4"/>
      <c r="AH50" s="40"/>
      <c r="AI50" s="4"/>
      <c r="AJ50" s="40"/>
      <c r="AK50" s="40"/>
      <c r="AL50" s="4"/>
      <c r="AM50" s="4"/>
      <c r="AN50" s="40"/>
    </row>
    <row r="51" spans="1:45" s="3" customFormat="1" hidden="1" x14ac:dyDescent="0.25">
      <c r="A51" s="1"/>
      <c r="B51" s="1"/>
      <c r="C51" s="1"/>
      <c r="D51" s="1"/>
      <c r="H51" s="109">
        <f>IFERROR(H48,0)</f>
        <v>0</v>
      </c>
      <c r="I51" s="100">
        <f>IF(E15="",1,0)</f>
        <v>0</v>
      </c>
      <c r="J51" s="82">
        <f>K52+O52+S52+W52+AA52+M52+Q52+U52+Y52+AC52</f>
        <v>28.49</v>
      </c>
      <c r="K51" s="64">
        <f>K52</f>
        <v>28.49</v>
      </c>
      <c r="L51" s="62">
        <f>IF($AD$58=1,IF($E$19&lt;K51,1,0),0)</f>
        <v>0</v>
      </c>
      <c r="M51" s="64">
        <f>M52+N52</f>
        <v>0</v>
      </c>
      <c r="N51" s="62">
        <f>IF($AD$58=6,IF($E$19&lt;M51,1,0),0)</f>
        <v>0</v>
      </c>
      <c r="O51" s="64">
        <f>O52</f>
        <v>0</v>
      </c>
      <c r="P51" s="62">
        <f>IF($AD$58=2,IF($E$19&lt;O51,1,0),0)</f>
        <v>0</v>
      </c>
      <c r="Q51" s="64">
        <f>Q52+R52</f>
        <v>0</v>
      </c>
      <c r="R51" s="62">
        <f>IF($AD$58=7,IF($E$19&lt;Q51,1,0),0)</f>
        <v>0</v>
      </c>
      <c r="S51" s="64">
        <f>S52</f>
        <v>0</v>
      </c>
      <c r="T51" s="62">
        <f>IF($AD$58=3,IF($E$19&lt;S51,1,0),0)</f>
        <v>0</v>
      </c>
      <c r="U51" s="64">
        <f>U52+V52</f>
        <v>0</v>
      </c>
      <c r="V51" s="62">
        <f>IF($AD$58=8,IF($E$19&lt;U51,1,0),0)</f>
        <v>0</v>
      </c>
      <c r="W51" s="64">
        <f>W52</f>
        <v>0</v>
      </c>
      <c r="X51" s="62">
        <f>IF($AD$58=4,IF($E$19&lt;W51,1,0),0)</f>
        <v>0</v>
      </c>
      <c r="Y51" s="64">
        <f>Y52+Z52</f>
        <v>0</v>
      </c>
      <c r="Z51" s="62">
        <f>IF($AD$58=9,IF($E$19&lt;Y51,1,0),0)</f>
        <v>0</v>
      </c>
      <c r="AA51" s="64">
        <f>AA52</f>
        <v>0</v>
      </c>
      <c r="AB51" s="62">
        <f>IF($AD$58=5,IF($E$19&lt;AA51,1,0),0)</f>
        <v>0</v>
      </c>
      <c r="AC51" s="64">
        <f>AC52+AD52</f>
        <v>0</v>
      </c>
      <c r="AD51" s="62">
        <f>IF($AD$58=10,IF($E$19&lt;AC51,1,0),0)</f>
        <v>0</v>
      </c>
      <c r="AE51" s="65" t="s">
        <v>30</v>
      </c>
      <c r="AF51" s="4"/>
      <c r="AG51" s="4"/>
      <c r="AH51" s="40"/>
      <c r="AI51" s="4"/>
      <c r="AJ51" s="40"/>
      <c r="AK51" s="40"/>
      <c r="AL51" s="4"/>
      <c r="AM51" s="4"/>
      <c r="AN51" s="40"/>
    </row>
    <row r="52" spans="1:45" s="3" customFormat="1" hidden="1" x14ac:dyDescent="0.25">
      <c r="A52" s="1"/>
      <c r="B52" s="1"/>
      <c r="C52" s="1"/>
      <c r="J52" s="81">
        <f>IF(H51=1,N52+R52+V52+Z52+AD52,IF(D48=A43,N52+R52+V52+Z52+AD52,J51))</f>
        <v>28.49</v>
      </c>
      <c r="K52" s="186">
        <f>IF($AD$58=1,K49+K53+(K40*I45),0)</f>
        <v>28.49</v>
      </c>
      <c r="L52" s="186"/>
      <c r="M52" s="23">
        <f>IF($AD$58=6,M49+M53+(M40*I45),0)</f>
        <v>0</v>
      </c>
      <c r="N52" s="23">
        <f>IF($AD$58=6,M50+N53+(N40*I45),0)</f>
        <v>0</v>
      </c>
      <c r="O52" s="186">
        <f>IF($AD$58=2,O49+O53+((O40-1)*I45),0)</f>
        <v>0</v>
      </c>
      <c r="P52" s="186"/>
      <c r="Q52" s="52">
        <f>IF($AD$58=7,Q49+Q53+((Q40-1)*I45),0)</f>
        <v>0</v>
      </c>
      <c r="R52" s="58">
        <f>IF($AD$58=7,Q50+R53+((R40-1)*I45),0)</f>
        <v>0</v>
      </c>
      <c r="S52" s="186">
        <f>IF($AD$58=3,S49+S53+(S40*I45),0)</f>
        <v>0</v>
      </c>
      <c r="T52" s="186"/>
      <c r="U52" s="58">
        <f>IF($AD$58=8,U49+U53+(U40*I45),0)</f>
        <v>0</v>
      </c>
      <c r="V52" s="58">
        <f>IF($AD$58=8,U49+V53+(V40*I45),0)</f>
        <v>0</v>
      </c>
      <c r="W52" s="186">
        <f>IF($AD$58=4,W49+W53+(W40*I45),0)</f>
        <v>0</v>
      </c>
      <c r="X52" s="186"/>
      <c r="Y52" s="58">
        <f>IF($AD$58=9,Y49+Y53+(Y40*I45),0)</f>
        <v>0</v>
      </c>
      <c r="Z52" s="58">
        <f>IF($AD$58=9,Y50+Z53+(Z40*I45),0)</f>
        <v>0</v>
      </c>
      <c r="AA52" s="186">
        <f>IF($AD$58=5,AA49+AA53+(AA40*I45),0)</f>
        <v>0</v>
      </c>
      <c r="AB52" s="186"/>
      <c r="AC52" s="58">
        <f>IF($AD$58=10,AC49+AC53+(AC40*I45),0)</f>
        <v>0</v>
      </c>
      <c r="AD52" s="58">
        <f>IF($AD$58=10,AC50+AD53+(AD40*I45),0)</f>
        <v>0</v>
      </c>
      <c r="AE52" s="66" t="s">
        <v>58</v>
      </c>
      <c r="AF52" s="4"/>
      <c r="AG52" s="4"/>
      <c r="AH52" s="40"/>
      <c r="AI52" s="4"/>
      <c r="AJ52" s="40"/>
      <c r="AL52" s="40"/>
      <c r="AM52" s="4"/>
      <c r="AN52" s="40"/>
    </row>
    <row r="53" spans="1:45" s="3" customFormat="1" hidden="1" x14ac:dyDescent="0.25">
      <c r="A53" s="1"/>
      <c r="B53" s="1"/>
      <c r="C53" s="1"/>
      <c r="J53" s="67"/>
      <c r="K53" s="187">
        <f>2.59+2.84</f>
        <v>5.43</v>
      </c>
      <c r="L53" s="183"/>
      <c r="M53" s="71">
        <f>2.59+2.84</f>
        <v>5.43</v>
      </c>
      <c r="N53" s="71">
        <f>2.84+0.385</f>
        <v>3.2249999999999996</v>
      </c>
      <c r="O53" s="183">
        <v>2.3450000000000002</v>
      </c>
      <c r="P53" s="183"/>
      <c r="Q53" s="71">
        <v>2.3450000000000002</v>
      </c>
      <c r="R53" s="71">
        <v>2.3450000000000002</v>
      </c>
      <c r="S53" s="183">
        <f>2+2.84</f>
        <v>4.84</v>
      </c>
      <c r="T53" s="183"/>
      <c r="U53" s="71">
        <f>2+2.84</f>
        <v>4.84</v>
      </c>
      <c r="V53" s="71">
        <v>1.1299999999999999</v>
      </c>
      <c r="W53" s="183">
        <f>1.25+2.84</f>
        <v>4.09</v>
      </c>
      <c r="X53" s="183"/>
      <c r="Y53" s="71">
        <f>1.25+2.84</f>
        <v>4.09</v>
      </c>
      <c r="Z53" s="71">
        <f>1.25+2.84</f>
        <v>4.09</v>
      </c>
      <c r="AA53" s="183">
        <f>1.58+1.13+7.99</f>
        <v>10.7</v>
      </c>
      <c r="AB53" s="183"/>
      <c r="AC53" s="72">
        <f>1.58+1.13+7.99</f>
        <v>10.7</v>
      </c>
      <c r="AD53" s="73">
        <f>1.58+1.13+7.99</f>
        <v>10.7</v>
      </c>
      <c r="AE53" s="4"/>
      <c r="AF53" s="40"/>
      <c r="AG53" s="40"/>
      <c r="AH53" s="4"/>
      <c r="AI53" s="4"/>
      <c r="AJ53" s="40"/>
      <c r="AK53" s="40"/>
      <c r="AL53" s="4"/>
      <c r="AM53" s="4"/>
      <c r="AN53" s="40"/>
      <c r="AO53" s="40"/>
      <c r="AP53" s="4"/>
      <c r="AQ53" s="4"/>
      <c r="AR53" s="40"/>
      <c r="AS53" s="40"/>
    </row>
    <row r="54" spans="1:45" s="3" customFormat="1" ht="15" hidden="1" customHeight="1" x14ac:dyDescent="0.25">
      <c r="A54" s="1"/>
      <c r="B54" s="19"/>
      <c r="C54" s="19"/>
      <c r="D54" s="20"/>
      <c r="K54" s="195"/>
      <c r="L54" s="182"/>
      <c r="M54" s="86"/>
      <c r="N54" s="86"/>
      <c r="O54" s="182"/>
      <c r="P54" s="182"/>
      <c r="Q54" s="87"/>
      <c r="R54" s="87"/>
      <c r="S54" s="182"/>
      <c r="T54" s="182"/>
      <c r="U54" s="87"/>
      <c r="V54" s="87"/>
      <c r="W54" s="182"/>
      <c r="X54" s="182"/>
      <c r="Y54" s="87"/>
      <c r="Z54" s="87"/>
      <c r="AA54" s="182"/>
      <c r="AB54" s="182"/>
      <c r="AC54" s="87"/>
      <c r="AD54" s="88"/>
      <c r="AE54" s="4"/>
      <c r="AF54" s="40"/>
      <c r="AG54" s="40"/>
      <c r="AH54" s="4"/>
      <c r="AI54" s="4"/>
      <c r="AJ54" s="40"/>
      <c r="AK54" s="40"/>
      <c r="AL54" s="4"/>
      <c r="AM54" s="4"/>
      <c r="AN54" s="40"/>
      <c r="AO54" s="40"/>
      <c r="AP54" s="4"/>
      <c r="AQ54" s="4"/>
      <c r="AR54" s="40"/>
      <c r="AS54" s="40"/>
    </row>
    <row r="55" spans="1:45" s="3" customFormat="1" ht="15" hidden="1" customHeight="1" x14ac:dyDescent="0.25">
      <c r="B55" s="30"/>
      <c r="K55" s="89">
        <v>0</v>
      </c>
      <c r="L55" s="86">
        <v>0</v>
      </c>
      <c r="M55" s="87">
        <f>IF(M52&gt;N52,1,0)</f>
        <v>0</v>
      </c>
      <c r="N55" s="87">
        <f>IF(N52&gt;M52,2,0)</f>
        <v>0</v>
      </c>
      <c r="O55" s="86">
        <v>0</v>
      </c>
      <c r="P55" s="86">
        <v>0</v>
      </c>
      <c r="Q55" s="87">
        <v>0</v>
      </c>
      <c r="R55" s="87">
        <v>0</v>
      </c>
      <c r="S55" s="86">
        <v>0</v>
      </c>
      <c r="T55" s="86">
        <v>0</v>
      </c>
      <c r="U55" s="87">
        <f>IF(U52&gt;V52,1,0)</f>
        <v>0</v>
      </c>
      <c r="V55" s="87">
        <f>IF(V52&gt;U52,2,0)</f>
        <v>0</v>
      </c>
      <c r="W55" s="86">
        <v>0</v>
      </c>
      <c r="X55" s="86">
        <v>0</v>
      </c>
      <c r="Y55" s="87">
        <f>IF(Y52&gt;Z52,1,0)</f>
        <v>0</v>
      </c>
      <c r="Z55" s="87">
        <f>IF(Z52&gt;Y52,2,0)</f>
        <v>0</v>
      </c>
      <c r="AA55" s="86">
        <v>0</v>
      </c>
      <c r="AB55" s="86">
        <v>0</v>
      </c>
      <c r="AC55" s="87">
        <v>0</v>
      </c>
      <c r="AD55" s="88">
        <v>0</v>
      </c>
      <c r="AE55" s="4"/>
    </row>
    <row r="56" spans="1:45" s="3" customFormat="1" ht="15" hidden="1" customHeight="1" x14ac:dyDescent="0.25">
      <c r="B56" s="30"/>
      <c r="K56" s="83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85"/>
    </row>
    <row r="57" spans="1:45" s="3" customFormat="1" ht="15" hidden="1" customHeight="1" x14ac:dyDescent="0.25">
      <c r="B57" s="30"/>
    </row>
    <row r="58" spans="1:45" s="3" customFormat="1" ht="15" hidden="1" customHeight="1" x14ac:dyDescent="0.25">
      <c r="B58" s="20"/>
      <c r="X58" s="1"/>
      <c r="Y58" s="1"/>
      <c r="Z58" s="1"/>
      <c r="AA58" s="1"/>
      <c r="AB58" s="1"/>
      <c r="AC58" s="1"/>
      <c r="AD58" s="54">
        <f>SUM(X59:AC59)</f>
        <v>1</v>
      </c>
    </row>
    <row r="59" spans="1:45" s="3" customFormat="1" ht="15" hidden="1" customHeight="1" x14ac:dyDescent="0.25">
      <c r="B59" s="20"/>
      <c r="X59" s="53">
        <f>IF(E23=A40,0,5)</f>
        <v>0</v>
      </c>
      <c r="Y59" s="55">
        <f>IF($E$17=$D37,1,0)</f>
        <v>1</v>
      </c>
      <c r="Z59" s="55">
        <f>IF($E$17=$D38,2,0)</f>
        <v>0</v>
      </c>
      <c r="AA59" s="55">
        <f>IF($E$17=$D39,3,0)</f>
        <v>0</v>
      </c>
      <c r="AB59" s="55">
        <f>IF($E$17=$D40,4,0)</f>
        <v>0</v>
      </c>
      <c r="AC59" s="55">
        <f>IF($E$17=$D41,5,0)</f>
        <v>0</v>
      </c>
      <c r="AD59" s="53">
        <f>IF(I49=1,0,AD58)</f>
        <v>1</v>
      </c>
    </row>
    <row r="60" spans="1:45" s="3" customFormat="1" ht="15" hidden="1" customHeight="1" x14ac:dyDescent="0.25">
      <c r="B60" s="4"/>
    </row>
    <row r="61" spans="1:45" s="3" customFormat="1" ht="15" hidden="1" customHeight="1" x14ac:dyDescent="0.25">
      <c r="B61" s="20"/>
      <c r="V61" s="89">
        <f>IF($AD$59=0,0,IF($AD$59=1,V63,IF($AD$59=2,V65,IF($AD$59=3,V67,IF($AD$59=4,V69,IF($AD$59=5,V71,IF($AD$59=6,V64,IF($AD$59=7,V66,IF($AD$59=8,V68,IF($AD$59=9,V70,IF($AD$59=10,V72,0)))))))))))</f>
        <v>1</v>
      </c>
      <c r="W61" s="86">
        <f t="shared" ref="W61:AA61" si="0">IF($AD$59=0,0,IF($AD$59=1,W63,IF($AD$59=2,W65,IF($AD$59=3,W67,IF($AD$59=4,W69,IF($AD$59=5,W71,IF($AD$59=6,W64,IF($AD$59=7,W66,IF($AD$59=8,W68,IF($AD$59=9,W70,IF($AD$59=10,W72,0)))))))))))</f>
        <v>0</v>
      </c>
      <c r="X61" s="86">
        <f t="shared" si="0"/>
        <v>1</v>
      </c>
      <c r="Y61" s="86">
        <f t="shared" si="0"/>
        <v>1</v>
      </c>
      <c r="Z61" s="86">
        <f t="shared" si="0"/>
        <v>0</v>
      </c>
      <c r="AA61" s="103">
        <f t="shared" si="0"/>
        <v>1</v>
      </c>
    </row>
    <row r="62" spans="1:45" s="3" customFormat="1" ht="15" hidden="1" customHeight="1" thickBot="1" x14ac:dyDescent="0.3">
      <c r="B62" s="20"/>
      <c r="C62" s="29"/>
      <c r="D62" s="33">
        <v>1</v>
      </c>
      <c r="E62" s="33">
        <v>2</v>
      </c>
      <c r="F62" s="33">
        <v>3</v>
      </c>
      <c r="G62" s="33">
        <v>4</v>
      </c>
      <c r="H62" s="33">
        <v>5</v>
      </c>
      <c r="I62" s="33">
        <v>6</v>
      </c>
      <c r="J62" s="33">
        <v>7</v>
      </c>
      <c r="K62" s="33">
        <v>8</v>
      </c>
      <c r="L62" s="33">
        <v>9</v>
      </c>
      <c r="M62" s="33">
        <v>10</v>
      </c>
      <c r="N62" s="33">
        <v>11</v>
      </c>
      <c r="O62" s="33">
        <v>12</v>
      </c>
      <c r="P62" s="33">
        <v>13</v>
      </c>
      <c r="Q62" s="33">
        <v>14</v>
      </c>
      <c r="R62" s="33">
        <v>15</v>
      </c>
      <c r="S62" s="33">
        <v>16</v>
      </c>
      <c r="T62" s="33">
        <v>17</v>
      </c>
      <c r="U62" s="33">
        <v>18</v>
      </c>
      <c r="V62" s="104" t="s">
        <v>76</v>
      </c>
      <c r="W62" s="10" t="s">
        <v>77</v>
      </c>
      <c r="X62" s="105" t="s">
        <v>78</v>
      </c>
      <c r="Y62" s="105" t="s">
        <v>79</v>
      </c>
      <c r="Z62" s="105" t="s">
        <v>80</v>
      </c>
      <c r="AA62" s="106" t="s">
        <v>81</v>
      </c>
      <c r="AE62" s="20"/>
      <c r="AF62" s="20"/>
      <c r="AG62" s="20"/>
      <c r="AH62" s="20"/>
      <c r="AI62" s="20"/>
      <c r="AJ62" s="20"/>
      <c r="AK62" s="20"/>
      <c r="AL62" s="20"/>
    </row>
    <row r="63" spans="1:45" s="3" customFormat="1" ht="15" hidden="1" customHeight="1" x14ac:dyDescent="0.25">
      <c r="B63" s="20"/>
      <c r="C63" s="31" t="s">
        <v>35</v>
      </c>
      <c r="D63" s="20">
        <v>1</v>
      </c>
      <c r="E63" s="20" t="s">
        <v>44</v>
      </c>
      <c r="F63" s="20">
        <v>2</v>
      </c>
      <c r="G63" s="20" t="s">
        <v>44</v>
      </c>
      <c r="H63" s="20" t="s">
        <v>31</v>
      </c>
      <c r="I63" s="20" t="s">
        <v>44</v>
      </c>
      <c r="J63" s="20" t="s">
        <v>31</v>
      </c>
      <c r="K63" s="20" t="s">
        <v>44</v>
      </c>
      <c r="L63" s="20" t="s">
        <v>31</v>
      </c>
      <c r="M63" s="20" t="s">
        <v>44</v>
      </c>
      <c r="N63" s="20" t="s">
        <v>31</v>
      </c>
      <c r="O63" s="20" t="s">
        <v>44</v>
      </c>
      <c r="P63" s="20" t="s">
        <v>31</v>
      </c>
      <c r="Q63" s="20" t="s">
        <v>44</v>
      </c>
      <c r="R63" s="20" t="s">
        <v>31</v>
      </c>
      <c r="S63" s="20" t="s">
        <v>44</v>
      </c>
      <c r="T63" s="20">
        <f>K45-1</f>
        <v>13</v>
      </c>
      <c r="U63" s="24">
        <f>K45</f>
        <v>14</v>
      </c>
      <c r="V63" s="101">
        <v>1</v>
      </c>
      <c r="W63" s="20">
        <v>0</v>
      </c>
      <c r="X63" s="20">
        <v>1</v>
      </c>
      <c r="Y63" s="20">
        <v>1</v>
      </c>
      <c r="Z63" s="20">
        <v>0</v>
      </c>
      <c r="AA63" s="24">
        <v>1</v>
      </c>
      <c r="AE63" s="20"/>
      <c r="AF63" s="20"/>
      <c r="AG63" s="20"/>
      <c r="AH63" s="20"/>
      <c r="AI63" s="20"/>
      <c r="AJ63" s="20"/>
      <c r="AK63" s="20"/>
      <c r="AL63" s="20"/>
    </row>
    <row r="64" spans="1:45" s="3" customFormat="1" hidden="1" x14ac:dyDescent="0.25">
      <c r="C64" s="31" t="s">
        <v>34</v>
      </c>
      <c r="D64" s="19">
        <v>1</v>
      </c>
      <c r="E64" s="21" t="s">
        <v>44</v>
      </c>
      <c r="F64" s="20">
        <v>2</v>
      </c>
      <c r="G64" s="21" t="s">
        <v>44</v>
      </c>
      <c r="H64" s="20" t="s">
        <v>31</v>
      </c>
      <c r="I64" s="21" t="s">
        <v>44</v>
      </c>
      <c r="J64" s="20">
        <f>M45</f>
        <v>0</v>
      </c>
      <c r="K64" s="19" t="s">
        <v>44</v>
      </c>
      <c r="L64" s="19" t="s">
        <v>44</v>
      </c>
      <c r="M64" s="20" t="s">
        <v>44</v>
      </c>
      <c r="N64" s="20" t="s">
        <v>44</v>
      </c>
      <c r="O64" s="20">
        <f>M46</f>
        <v>0</v>
      </c>
      <c r="P64" s="20" t="s">
        <v>44</v>
      </c>
      <c r="Q64" s="20" t="s">
        <v>31</v>
      </c>
      <c r="R64" s="20" t="s">
        <v>44</v>
      </c>
      <c r="S64" s="20">
        <v>2</v>
      </c>
      <c r="T64" s="20" t="s">
        <v>44</v>
      </c>
      <c r="U64" s="24">
        <v>1</v>
      </c>
      <c r="V64" s="101">
        <v>1</v>
      </c>
      <c r="W64" s="20">
        <v>0</v>
      </c>
      <c r="X64" s="20">
        <v>1</v>
      </c>
      <c r="Y64" s="20">
        <v>1</v>
      </c>
      <c r="Z64" s="20">
        <v>0</v>
      </c>
      <c r="AA64" s="24">
        <v>1</v>
      </c>
      <c r="AE64" s="20"/>
      <c r="AF64" s="20"/>
      <c r="AG64" s="20"/>
      <c r="AH64" s="20"/>
      <c r="AI64" s="20"/>
      <c r="AJ64" s="20"/>
      <c r="AK64" s="20"/>
      <c r="AL64" s="20"/>
    </row>
    <row r="65" spans="3:38" s="3" customFormat="1" hidden="1" x14ac:dyDescent="0.25">
      <c r="C65" s="31" t="s">
        <v>36</v>
      </c>
      <c r="D65" s="19">
        <v>1</v>
      </c>
      <c r="E65" s="21" t="s">
        <v>44</v>
      </c>
      <c r="F65" s="21">
        <v>2</v>
      </c>
      <c r="G65" s="21" t="s">
        <v>44</v>
      </c>
      <c r="H65" s="20" t="s">
        <v>31</v>
      </c>
      <c r="I65" s="21" t="s">
        <v>44</v>
      </c>
      <c r="J65" s="20" t="s">
        <v>31</v>
      </c>
      <c r="K65" s="19" t="s">
        <v>45</v>
      </c>
      <c r="L65" s="19" t="s">
        <v>31</v>
      </c>
      <c r="M65" s="20" t="s">
        <v>31</v>
      </c>
      <c r="N65" s="20" t="s">
        <v>44</v>
      </c>
      <c r="O65" s="20" t="s">
        <v>31</v>
      </c>
      <c r="P65" s="20" t="s">
        <v>44</v>
      </c>
      <c r="Q65" s="20" t="s">
        <v>31</v>
      </c>
      <c r="R65" s="20" t="s">
        <v>44</v>
      </c>
      <c r="S65" s="20">
        <f>O45-1</f>
        <v>-1</v>
      </c>
      <c r="T65" s="20" t="s">
        <v>44</v>
      </c>
      <c r="U65" s="24">
        <f>O45</f>
        <v>0</v>
      </c>
      <c r="V65" s="101">
        <v>0</v>
      </c>
      <c r="W65" s="20">
        <v>1</v>
      </c>
      <c r="X65" s="20">
        <v>0</v>
      </c>
      <c r="Y65" s="20">
        <v>0</v>
      </c>
      <c r="Z65" s="20">
        <v>1</v>
      </c>
      <c r="AA65" s="24">
        <v>0</v>
      </c>
      <c r="AE65" s="20"/>
      <c r="AF65" s="20"/>
      <c r="AG65" s="20"/>
      <c r="AH65" s="20"/>
      <c r="AI65" s="20"/>
      <c r="AJ65" s="20"/>
      <c r="AK65" s="20"/>
      <c r="AL65" s="20"/>
    </row>
    <row r="66" spans="3:38" s="3" customFormat="1" hidden="1" x14ac:dyDescent="0.25">
      <c r="C66" s="31" t="s">
        <v>37</v>
      </c>
      <c r="D66" s="20">
        <v>1</v>
      </c>
      <c r="E66" s="4" t="s">
        <v>44</v>
      </c>
      <c r="F66" s="4">
        <v>2</v>
      </c>
      <c r="G66" s="4" t="s">
        <v>44</v>
      </c>
      <c r="H66" s="20" t="s">
        <v>44</v>
      </c>
      <c r="I66" s="4" t="s">
        <v>31</v>
      </c>
      <c r="J66" s="20" t="s">
        <v>44</v>
      </c>
      <c r="K66" s="20" t="s">
        <v>44</v>
      </c>
      <c r="L66" s="20">
        <f>Q45</f>
        <v>0</v>
      </c>
      <c r="M66" s="20">
        <f>Q46</f>
        <v>0</v>
      </c>
      <c r="N66" s="20" t="s">
        <v>44</v>
      </c>
      <c r="O66" s="20" t="s">
        <v>44</v>
      </c>
      <c r="P66" s="20" t="s">
        <v>31</v>
      </c>
      <c r="Q66" s="20" t="s">
        <v>44</v>
      </c>
      <c r="R66" s="20" t="s">
        <v>44</v>
      </c>
      <c r="S66" s="20">
        <v>2</v>
      </c>
      <c r="T66" s="20" t="s">
        <v>44</v>
      </c>
      <c r="U66" s="24">
        <v>1</v>
      </c>
      <c r="V66" s="101">
        <v>0</v>
      </c>
      <c r="W66" s="20">
        <v>1</v>
      </c>
      <c r="X66" s="20">
        <v>0</v>
      </c>
      <c r="Y66" s="20">
        <v>0</v>
      </c>
      <c r="Z66" s="20">
        <v>1</v>
      </c>
      <c r="AA66" s="24">
        <v>0</v>
      </c>
      <c r="AE66" s="20"/>
      <c r="AF66" s="20"/>
      <c r="AG66" s="20"/>
      <c r="AH66" s="20"/>
      <c r="AI66" s="20"/>
      <c r="AJ66" s="20"/>
      <c r="AK66" s="20"/>
      <c r="AL66" s="20"/>
    </row>
    <row r="67" spans="3:38" s="3" customFormat="1" hidden="1" x14ac:dyDescent="0.25">
      <c r="C67" s="31" t="s">
        <v>38</v>
      </c>
      <c r="D67" s="20">
        <v>1</v>
      </c>
      <c r="E67" s="4" t="s">
        <v>44</v>
      </c>
      <c r="F67" s="4">
        <v>2</v>
      </c>
      <c r="G67" s="4" t="s">
        <v>44</v>
      </c>
      <c r="H67" s="20" t="s">
        <v>31</v>
      </c>
      <c r="I67" s="4" t="s">
        <v>44</v>
      </c>
      <c r="J67" s="20" t="s">
        <v>31</v>
      </c>
      <c r="K67" s="20" t="s">
        <v>44</v>
      </c>
      <c r="L67" s="20" t="s">
        <v>31</v>
      </c>
      <c r="M67" s="20" t="s">
        <v>44</v>
      </c>
      <c r="N67" s="4" t="s">
        <v>31</v>
      </c>
      <c r="O67" s="4" t="s">
        <v>44</v>
      </c>
      <c r="P67" s="4" t="s">
        <v>31</v>
      </c>
      <c r="Q67" s="20" t="s">
        <v>44</v>
      </c>
      <c r="R67" s="20" t="s">
        <v>31</v>
      </c>
      <c r="S67" s="20" t="s">
        <v>44</v>
      </c>
      <c r="T67" s="20">
        <f>S45-1</f>
        <v>-1</v>
      </c>
      <c r="U67" s="24">
        <f>S45</f>
        <v>0</v>
      </c>
      <c r="V67" s="101">
        <v>0</v>
      </c>
      <c r="W67" s="20">
        <v>1</v>
      </c>
      <c r="X67" s="20">
        <v>0</v>
      </c>
      <c r="Y67" s="20">
        <v>1</v>
      </c>
      <c r="Z67" s="20">
        <v>0</v>
      </c>
      <c r="AA67" s="24">
        <v>1</v>
      </c>
    </row>
    <row r="68" spans="3:38" s="3" customFormat="1" hidden="1" x14ac:dyDescent="0.25">
      <c r="C68" s="31" t="s">
        <v>39</v>
      </c>
      <c r="D68" s="20">
        <v>1</v>
      </c>
      <c r="E68" s="20" t="s">
        <v>44</v>
      </c>
      <c r="F68" s="20">
        <v>2</v>
      </c>
      <c r="G68" s="20" t="s">
        <v>44</v>
      </c>
      <c r="H68" s="20" t="s">
        <v>31</v>
      </c>
      <c r="I68" s="20" t="s">
        <v>44</v>
      </c>
      <c r="J68" s="20" t="s">
        <v>44</v>
      </c>
      <c r="K68" s="20">
        <f>U45</f>
        <v>0</v>
      </c>
      <c r="L68" s="20" t="s">
        <v>44</v>
      </c>
      <c r="M68" s="20" t="s">
        <v>44</v>
      </c>
      <c r="N68" s="20">
        <f>U46</f>
        <v>0</v>
      </c>
      <c r="O68" s="20" t="s">
        <v>44</v>
      </c>
      <c r="P68" s="20" t="s">
        <v>44</v>
      </c>
      <c r="Q68" s="20" t="s">
        <v>31</v>
      </c>
      <c r="R68" s="20" t="s">
        <v>44</v>
      </c>
      <c r="S68" s="20">
        <v>2</v>
      </c>
      <c r="T68" s="20" t="s">
        <v>44</v>
      </c>
      <c r="U68" s="24">
        <v>1</v>
      </c>
      <c r="V68" s="101">
        <v>1</v>
      </c>
      <c r="W68" s="20">
        <v>0</v>
      </c>
      <c r="X68" s="20">
        <v>1</v>
      </c>
      <c r="Y68" s="20">
        <v>1</v>
      </c>
      <c r="Z68" s="20">
        <v>0</v>
      </c>
      <c r="AA68" s="24">
        <v>1</v>
      </c>
    </row>
    <row r="69" spans="3:38" s="3" customFormat="1" hidden="1" x14ac:dyDescent="0.25">
      <c r="C69" s="31" t="s">
        <v>40</v>
      </c>
      <c r="D69" s="20">
        <v>1</v>
      </c>
      <c r="E69" s="4" t="s">
        <v>44</v>
      </c>
      <c r="F69" s="4">
        <v>2</v>
      </c>
      <c r="G69" s="4" t="s">
        <v>44</v>
      </c>
      <c r="H69" s="4" t="s">
        <v>44</v>
      </c>
      <c r="I69" s="4" t="s">
        <v>31</v>
      </c>
      <c r="J69" s="20" t="s">
        <v>44</v>
      </c>
      <c r="K69" s="20" t="s">
        <v>31</v>
      </c>
      <c r="L69" s="20" t="s">
        <v>44</v>
      </c>
      <c r="M69" s="20" t="s">
        <v>44</v>
      </c>
      <c r="N69" s="20" t="s">
        <v>31</v>
      </c>
      <c r="O69" s="20" t="s">
        <v>44</v>
      </c>
      <c r="P69" s="20">
        <f>W45-1</f>
        <v>-1</v>
      </c>
      <c r="Q69" s="20" t="s">
        <v>44</v>
      </c>
      <c r="R69" s="20">
        <f>W45</f>
        <v>0</v>
      </c>
      <c r="S69" s="20" t="s">
        <v>44</v>
      </c>
      <c r="T69" s="20" t="s">
        <v>44</v>
      </c>
      <c r="U69" s="24" t="s">
        <v>44</v>
      </c>
      <c r="V69" s="101">
        <v>1</v>
      </c>
      <c r="W69" s="20">
        <v>0</v>
      </c>
      <c r="X69" s="20">
        <v>1</v>
      </c>
      <c r="Y69" s="20">
        <v>0</v>
      </c>
      <c r="Z69" s="20">
        <v>1</v>
      </c>
      <c r="AA69" s="24">
        <v>0</v>
      </c>
    </row>
    <row r="70" spans="3:38" s="3" customFormat="1" hidden="1" x14ac:dyDescent="0.25">
      <c r="C70" s="31" t="s">
        <v>41</v>
      </c>
      <c r="D70" s="20">
        <v>1</v>
      </c>
      <c r="E70" s="4" t="s">
        <v>44</v>
      </c>
      <c r="F70" s="4">
        <v>2</v>
      </c>
      <c r="G70" s="4" t="s">
        <v>44</v>
      </c>
      <c r="H70" s="4" t="s">
        <v>31</v>
      </c>
      <c r="I70" s="4" t="s">
        <v>44</v>
      </c>
      <c r="J70" s="20" t="s">
        <v>44</v>
      </c>
      <c r="K70" s="20">
        <f>Y45</f>
        <v>0</v>
      </c>
      <c r="L70" s="20" t="s">
        <v>44</v>
      </c>
      <c r="M70" s="20" t="s">
        <v>44</v>
      </c>
      <c r="N70" s="20" t="s">
        <v>44</v>
      </c>
      <c r="O70" s="20">
        <f>Y46</f>
        <v>0</v>
      </c>
      <c r="P70" s="20" t="s">
        <v>44</v>
      </c>
      <c r="Q70" s="20" t="s">
        <v>31</v>
      </c>
      <c r="R70" s="20" t="s">
        <v>44</v>
      </c>
      <c r="S70" s="20" t="s">
        <v>44</v>
      </c>
      <c r="T70" s="20">
        <v>2</v>
      </c>
      <c r="U70" s="24">
        <v>1</v>
      </c>
      <c r="V70" s="101">
        <v>1</v>
      </c>
      <c r="W70" s="20">
        <v>0</v>
      </c>
      <c r="X70" s="20">
        <v>1</v>
      </c>
      <c r="Y70" s="20">
        <v>1</v>
      </c>
      <c r="Z70" s="20">
        <v>0</v>
      </c>
      <c r="AA70" s="24">
        <v>1</v>
      </c>
    </row>
    <row r="71" spans="3:38" s="3" customFormat="1" hidden="1" x14ac:dyDescent="0.25">
      <c r="C71" s="31" t="s">
        <v>42</v>
      </c>
      <c r="D71" s="20">
        <v>1</v>
      </c>
      <c r="E71" s="4" t="s">
        <v>44</v>
      </c>
      <c r="F71" s="4">
        <v>2</v>
      </c>
      <c r="G71" s="4" t="s">
        <v>44</v>
      </c>
      <c r="H71" s="4" t="s">
        <v>31</v>
      </c>
      <c r="I71" s="4" t="s">
        <v>44</v>
      </c>
      <c r="J71" s="20" t="s">
        <v>31</v>
      </c>
      <c r="K71" s="20" t="s">
        <v>44</v>
      </c>
      <c r="L71" s="20" t="s">
        <v>31</v>
      </c>
      <c r="M71" s="20" t="s">
        <v>44</v>
      </c>
      <c r="N71" s="20" t="s">
        <v>31</v>
      </c>
      <c r="O71" s="20" t="s">
        <v>44</v>
      </c>
      <c r="P71" s="20" t="s">
        <v>31</v>
      </c>
      <c r="Q71" s="20" t="s">
        <v>44</v>
      </c>
      <c r="R71" s="20" t="s">
        <v>31</v>
      </c>
      <c r="S71" s="20" t="s">
        <v>44</v>
      </c>
      <c r="T71" s="20">
        <f>AA45-1</f>
        <v>-1</v>
      </c>
      <c r="U71" s="24">
        <f>AA45</f>
        <v>0</v>
      </c>
      <c r="V71" s="101">
        <v>0</v>
      </c>
      <c r="W71" s="20">
        <v>1</v>
      </c>
      <c r="X71" s="20">
        <v>0</v>
      </c>
      <c r="Y71" s="20">
        <v>0</v>
      </c>
      <c r="Z71" s="20">
        <v>1</v>
      </c>
      <c r="AA71" s="24">
        <v>0</v>
      </c>
    </row>
    <row r="72" spans="3:38" s="3" customFormat="1" hidden="1" x14ac:dyDescent="0.25">
      <c r="C72" s="32" t="s">
        <v>43</v>
      </c>
      <c r="D72" s="26">
        <v>1</v>
      </c>
      <c r="E72" s="23" t="s">
        <v>44</v>
      </c>
      <c r="F72" s="23">
        <v>2</v>
      </c>
      <c r="G72" s="23" t="s">
        <v>44</v>
      </c>
      <c r="H72" s="23" t="s">
        <v>31</v>
      </c>
      <c r="I72" s="23" t="s">
        <v>44</v>
      </c>
      <c r="J72" s="26">
        <f>AC45</f>
        <v>0</v>
      </c>
      <c r="K72" s="26" t="s">
        <v>44</v>
      </c>
      <c r="L72" s="26" t="s">
        <v>44</v>
      </c>
      <c r="M72" s="26" t="s">
        <v>44</v>
      </c>
      <c r="N72" s="27" t="s">
        <v>44</v>
      </c>
      <c r="O72" s="27">
        <f>AC46</f>
        <v>0</v>
      </c>
      <c r="P72" s="27" t="s">
        <v>44</v>
      </c>
      <c r="Q72" s="27" t="s">
        <v>31</v>
      </c>
      <c r="R72" s="27" t="s">
        <v>44</v>
      </c>
      <c r="S72" s="27">
        <v>2</v>
      </c>
      <c r="T72" s="27" t="s">
        <v>44</v>
      </c>
      <c r="U72" s="28">
        <v>1</v>
      </c>
      <c r="V72" s="83">
        <v>0</v>
      </c>
      <c r="W72" s="26">
        <v>1</v>
      </c>
      <c r="X72" s="26">
        <v>0</v>
      </c>
      <c r="Y72" s="26">
        <v>0</v>
      </c>
      <c r="Z72" s="26">
        <v>1</v>
      </c>
      <c r="AA72" s="85">
        <v>0</v>
      </c>
    </row>
    <row r="73" spans="3:38" s="3" customFormat="1" hidden="1" x14ac:dyDescent="0.25"/>
  </sheetData>
  <sheetProtection algorithmName="SHA-512" hashValue="K+KRXGj1Xkr1ueMtjvzf+svN4+k9ShDpJBWB0EgV6BjWU6JVkqOEl2Q7XQCaJYI7j9WIuBxCR7cDxRdHUF73kA==" saltValue="VeqSf4HuTmGTz/gQ6Bh4Ag==" spinCount="100000" sheet="1" objects="1" scenarios="1" selectLockedCells="1"/>
  <mergeCells count="213">
    <mergeCell ref="AC7:AD7"/>
    <mergeCell ref="AC8:AD8"/>
    <mergeCell ref="AC9:AD9"/>
    <mergeCell ref="W4:Y4"/>
    <mergeCell ref="W3:Y3"/>
    <mergeCell ref="W8:Y8"/>
    <mergeCell ref="W11:Y11"/>
    <mergeCell ref="Z15:AA15"/>
    <mergeCell ref="W15:Y15"/>
    <mergeCell ref="W12:Y12"/>
    <mergeCell ref="Z3:AA3"/>
    <mergeCell ref="Z4:AA4"/>
    <mergeCell ref="Z7:AA7"/>
    <mergeCell ref="Z8:AA8"/>
    <mergeCell ref="S4:V4"/>
    <mergeCell ref="S3:V3"/>
    <mergeCell ref="S7:V7"/>
    <mergeCell ref="S11:V11"/>
    <mergeCell ref="S12:V12"/>
    <mergeCell ref="S8:V8"/>
    <mergeCell ref="AA41:AB41"/>
    <mergeCell ref="AA42:AB42"/>
    <mergeCell ref="W41:X41"/>
    <mergeCell ref="W42:X42"/>
    <mergeCell ref="W45:X45"/>
    <mergeCell ref="W44:X44"/>
    <mergeCell ref="AC15:AD15"/>
    <mergeCell ref="AC16:AD16"/>
    <mergeCell ref="AC17:AD17"/>
    <mergeCell ref="W16:Y16"/>
    <mergeCell ref="AC45:AD45"/>
    <mergeCell ref="AE35:AH36"/>
    <mergeCell ref="AE42:AH43"/>
    <mergeCell ref="AC35:AD35"/>
    <mergeCell ref="Z11:AA11"/>
    <mergeCell ref="Z12:AA12"/>
    <mergeCell ref="AA44:AB44"/>
    <mergeCell ref="AA35:AB35"/>
    <mergeCell ref="Y35:Z35"/>
    <mergeCell ref="W35:X35"/>
    <mergeCell ref="Z16:AA16"/>
    <mergeCell ref="S43:T43"/>
    <mergeCell ref="S44:T44"/>
    <mergeCell ref="S13:V13"/>
    <mergeCell ref="S16:V16"/>
    <mergeCell ref="S41:T41"/>
    <mergeCell ref="A48:C48"/>
    <mergeCell ref="D48:F48"/>
    <mergeCell ref="O48:P48"/>
    <mergeCell ref="AA47:AB47"/>
    <mergeCell ref="O47:P47"/>
    <mergeCell ref="A47:C47"/>
    <mergeCell ref="A41:C41"/>
    <mergeCell ref="A42:C42"/>
    <mergeCell ref="A43:C43"/>
    <mergeCell ref="D41:F41"/>
    <mergeCell ref="A45:F45"/>
    <mergeCell ref="D46:F46"/>
    <mergeCell ref="A46:C46"/>
    <mergeCell ref="I41:J41"/>
    <mergeCell ref="G41:H41"/>
    <mergeCell ref="G42:H42"/>
    <mergeCell ref="G44:H44"/>
    <mergeCell ref="G43:H43"/>
    <mergeCell ref="W48:X48"/>
    <mergeCell ref="Y45:Z45"/>
    <mergeCell ref="Y48:Z48"/>
    <mergeCell ref="AA48:AB48"/>
    <mergeCell ref="U45:V45"/>
    <mergeCell ref="W47:X47"/>
    <mergeCell ref="O46:P46"/>
    <mergeCell ref="Q46:R46"/>
    <mergeCell ref="U46:V46"/>
    <mergeCell ref="S46:T46"/>
    <mergeCell ref="AC48:AD48"/>
    <mergeCell ref="W46:X46"/>
    <mergeCell ref="Y46:Z46"/>
    <mergeCell ref="AA46:AB46"/>
    <mergeCell ref="Q35:R35"/>
    <mergeCell ref="S39:T39"/>
    <mergeCell ref="O38:P38"/>
    <mergeCell ref="K38:L38"/>
    <mergeCell ref="A33:O33"/>
    <mergeCell ref="A40:C40"/>
    <mergeCell ref="I42:J42"/>
    <mergeCell ref="AC50:AD50"/>
    <mergeCell ref="M46:N46"/>
    <mergeCell ref="K46:L46"/>
    <mergeCell ref="Q50:R50"/>
    <mergeCell ref="O50:P50"/>
    <mergeCell ref="S50:T50"/>
    <mergeCell ref="K48:L48"/>
    <mergeCell ref="K47:L47"/>
    <mergeCell ref="W50:X50"/>
    <mergeCell ref="Y50:Z50"/>
    <mergeCell ref="Q48:R48"/>
    <mergeCell ref="S48:T48"/>
    <mergeCell ref="AA50:AB50"/>
    <mergeCell ref="AC46:AD46"/>
    <mergeCell ref="AC49:AD49"/>
    <mergeCell ref="M48:N48"/>
    <mergeCell ref="M49:N49"/>
    <mergeCell ref="AA38:AB38"/>
    <mergeCell ref="AA39:AB39"/>
    <mergeCell ref="W40:X40"/>
    <mergeCell ref="AA37:AB37"/>
    <mergeCell ref="W37:X37"/>
    <mergeCell ref="W38:X38"/>
    <mergeCell ref="W39:X39"/>
    <mergeCell ref="S35:T35"/>
    <mergeCell ref="U35:V35"/>
    <mergeCell ref="S37:T37"/>
    <mergeCell ref="S40:T40"/>
    <mergeCell ref="S38:T38"/>
    <mergeCell ref="A38:C38"/>
    <mergeCell ref="A39:C39"/>
    <mergeCell ref="O39:P39"/>
    <mergeCell ref="O40:P40"/>
    <mergeCell ref="O41:P41"/>
    <mergeCell ref="O42:P42"/>
    <mergeCell ref="K43:L43"/>
    <mergeCell ref="I40:J40"/>
    <mergeCell ref="G40:H40"/>
    <mergeCell ref="K39:L39"/>
    <mergeCell ref="K40:L40"/>
    <mergeCell ref="I39:J39"/>
    <mergeCell ref="G39:H39"/>
    <mergeCell ref="D38:F38"/>
    <mergeCell ref="D39:F39"/>
    <mergeCell ref="I38:J38"/>
    <mergeCell ref="H36:J36"/>
    <mergeCell ref="K35:L35"/>
    <mergeCell ref="M35:N35"/>
    <mergeCell ref="O35:P35"/>
    <mergeCell ref="O37:P37"/>
    <mergeCell ref="A37:C37"/>
    <mergeCell ref="D37:F37"/>
    <mergeCell ref="A36:F36"/>
    <mergeCell ref="K37:L37"/>
    <mergeCell ref="G35:H35"/>
    <mergeCell ref="I35:J35"/>
    <mergeCell ref="K54:L54"/>
    <mergeCell ref="O54:P54"/>
    <mergeCell ref="S54:T54"/>
    <mergeCell ref="W54:X54"/>
    <mergeCell ref="D42:F42"/>
    <mergeCell ref="D43:F43"/>
    <mergeCell ref="D40:F40"/>
    <mergeCell ref="H37:J37"/>
    <mergeCell ref="W49:X49"/>
    <mergeCell ref="O49:P49"/>
    <mergeCell ref="Q49:R49"/>
    <mergeCell ref="S49:T49"/>
    <mergeCell ref="U49:V49"/>
    <mergeCell ref="M45:N45"/>
    <mergeCell ref="Q45:R45"/>
    <mergeCell ref="W43:X43"/>
    <mergeCell ref="U48:V48"/>
    <mergeCell ref="O44:P44"/>
    <mergeCell ref="D47:F47"/>
    <mergeCell ref="K45:L45"/>
    <mergeCell ref="O45:P45"/>
    <mergeCell ref="S45:T45"/>
    <mergeCell ref="M50:N50"/>
    <mergeCell ref="S47:T47"/>
    <mergeCell ref="AA54:AB54"/>
    <mergeCell ref="AA53:AB53"/>
    <mergeCell ref="AA40:AB40"/>
    <mergeCell ref="K52:L52"/>
    <mergeCell ref="O52:P52"/>
    <mergeCell ref="S52:T52"/>
    <mergeCell ref="W52:X52"/>
    <mergeCell ref="AA52:AB52"/>
    <mergeCell ref="W53:X53"/>
    <mergeCell ref="S53:T53"/>
    <mergeCell ref="O53:P53"/>
    <mergeCell ref="K53:L53"/>
    <mergeCell ref="K50:L50"/>
    <mergeCell ref="K49:L49"/>
    <mergeCell ref="U50:V50"/>
    <mergeCell ref="K44:L44"/>
    <mergeCell ref="K41:L41"/>
    <mergeCell ref="K42:L42"/>
    <mergeCell ref="O43:P43"/>
    <mergeCell ref="S42:T42"/>
    <mergeCell ref="Y49:Z49"/>
    <mergeCell ref="AA49:AB49"/>
    <mergeCell ref="AA45:AB45"/>
    <mergeCell ref="AA43:AB43"/>
    <mergeCell ref="A32:P32"/>
    <mergeCell ref="S19:V19"/>
    <mergeCell ref="Z19:AA19"/>
    <mergeCell ref="W19:Y19"/>
    <mergeCell ref="W20:Y20"/>
    <mergeCell ref="Z20:AA20"/>
    <mergeCell ref="E7:O9"/>
    <mergeCell ref="S15:V15"/>
    <mergeCell ref="E15:H16"/>
    <mergeCell ref="A15:D15"/>
    <mergeCell ref="A16:D16"/>
    <mergeCell ref="E17:H18"/>
    <mergeCell ref="A17:D18"/>
    <mergeCell ref="A19:D20"/>
    <mergeCell ref="E21:H22"/>
    <mergeCell ref="E23:H24"/>
    <mergeCell ref="E19:H20"/>
    <mergeCell ref="A21:D22"/>
    <mergeCell ref="A23:D23"/>
    <mergeCell ref="A24:D24"/>
    <mergeCell ref="I19:J20"/>
    <mergeCell ref="A25:D26"/>
    <mergeCell ref="E25:H26"/>
    <mergeCell ref="W7:Y7"/>
  </mergeCells>
  <conditionalFormatting sqref="J23">
    <cfRule type="expression" dxfId="11" priority="13">
      <formula>$W$61=1</formula>
    </cfRule>
  </conditionalFormatting>
  <conditionalFormatting sqref="I23">
    <cfRule type="expression" dxfId="10" priority="12">
      <formula>$X$61=1</formula>
    </cfRule>
  </conditionalFormatting>
  <conditionalFormatting sqref="I28">
    <cfRule type="expression" dxfId="9" priority="11">
      <formula>$Y$61=1</formula>
    </cfRule>
  </conditionalFormatting>
  <conditionalFormatting sqref="J28">
    <cfRule type="expression" dxfId="8" priority="10">
      <formula>$Z$61=1</formula>
    </cfRule>
  </conditionalFormatting>
  <conditionalFormatting sqref="J29">
    <cfRule type="expression" dxfId="7" priority="9">
      <formula>$AA$61=1</formula>
    </cfRule>
  </conditionalFormatting>
  <conditionalFormatting sqref="I24">
    <cfRule type="expression" dxfId="6" priority="7">
      <formula>$AD$59&lt;&gt;0</formula>
    </cfRule>
  </conditionalFormatting>
  <conditionalFormatting sqref="I25">
    <cfRule type="expression" dxfId="5" priority="6">
      <formula>$AD$59&lt;&gt;0</formula>
    </cfRule>
  </conditionalFormatting>
  <conditionalFormatting sqref="I26">
    <cfRule type="expression" dxfId="4" priority="5">
      <formula>$AD$59&lt;&gt;0</formula>
    </cfRule>
  </conditionalFormatting>
  <conditionalFormatting sqref="I27">
    <cfRule type="expression" dxfId="3" priority="4">
      <formula>$AD$59&lt;&gt;0</formula>
    </cfRule>
  </conditionalFormatting>
  <conditionalFormatting sqref="J22">
    <cfRule type="expression" dxfId="2" priority="3">
      <formula>$V$61=1</formula>
    </cfRule>
  </conditionalFormatting>
  <conditionalFormatting sqref="AC16:AE16">
    <cfRule type="expression" dxfId="1" priority="2">
      <formula>$J$47=0</formula>
    </cfRule>
  </conditionalFormatting>
  <conditionalFormatting sqref="AC8:AE8">
    <cfRule type="expression" dxfId="0" priority="1">
      <formula>$J$47=0</formula>
    </cfRule>
  </conditionalFormatting>
  <dataValidations count="5">
    <dataValidation type="list" allowBlank="1" showInputMessage="1" showErrorMessage="1" sqref="D46 D47:F48" xr:uid="{5FFBCD75-4B5B-4E0A-9F6A-B44E0D7FF097}">
      <formula1>$A$42:$A$43</formula1>
    </dataValidation>
    <dataValidation type="list" allowBlank="1" showInputMessage="1" showErrorMessage="1" sqref="E23" xr:uid="{EFCDABC0-8131-40D0-BD0D-815AE558EAAE}">
      <formula1>$A$40:$A$41</formula1>
    </dataValidation>
    <dataValidation type="list" allowBlank="1" showInputMessage="1" showErrorMessage="1" sqref="E21" xr:uid="{4919D88D-296B-4C54-95EA-FB58CEE1CF52}">
      <formula1>$A$37:$A$39</formula1>
    </dataValidation>
    <dataValidation type="list" allowBlank="1" showInputMessage="1" showErrorMessage="1" sqref="E17:H18" xr:uid="{0A64E167-EA17-4DB1-B4E0-F4B399C483FA}">
      <formula1>$D$37:$D$41</formula1>
    </dataValidation>
    <dataValidation type="list" allowBlank="1" showInputMessage="1" showErrorMessage="1" sqref="E15:H16" xr:uid="{68CB3293-2193-4F78-9AAB-B2BD2BEBE913}">
      <formula1>$D$42:$D$43</formula1>
    </dataValidation>
  </dataValidation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6C315-5BDC-4069-ADB9-1A03D10CBD31}">
  <sheetPr codeName="Blad2"/>
  <dimension ref="AQ103:CW145"/>
  <sheetViews>
    <sheetView zoomScaleNormal="100" workbookViewId="0"/>
  </sheetViews>
  <sheetFormatPr defaultRowHeight="15" x14ac:dyDescent="0.25"/>
  <cols>
    <col min="61" max="61" width="77.7109375" customWidth="1"/>
    <col min="62" max="62" width="11.42578125" customWidth="1"/>
  </cols>
  <sheetData>
    <row r="103" spans="43:101" x14ac:dyDescent="0.25">
      <c r="BI103" s="68"/>
    </row>
    <row r="104" spans="43:101" x14ac:dyDescent="0.25"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</row>
    <row r="105" spans="43:101" x14ac:dyDescent="0.25">
      <c r="BH105" s="60"/>
      <c r="BI105" s="60" t="s">
        <v>9</v>
      </c>
      <c r="BJ105" s="61" t="s">
        <v>10</v>
      </c>
      <c r="BK105">
        <f>'Forest FES-rekenschema'!AD59</f>
        <v>1</v>
      </c>
      <c r="BL105" s="237" t="str">
        <f>IF(BK105=0,BJ106,IF(BK105=1,BJ107,IF(BK105=2,BJ108,IF(BK105=3,BJ109,IF(BK105=4,BJ110,IF(BK105=5,BJ111,IF(BK105=6,BJ112,IF(BK105=7,BJ113,IF(BK105=8,BJ114,IF(BK105=9,BJ115,IF(BK105=10,BJ116,0)))))))))))</f>
        <v>FMS enkel</v>
      </c>
      <c r="BM105" s="237"/>
      <c r="BN105" s="237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</row>
    <row r="106" spans="43:101" ht="147.75" customHeight="1" x14ac:dyDescent="0.25">
      <c r="BH106" s="60">
        <v>0</v>
      </c>
      <c r="BI106" s="60"/>
      <c r="BJ106" s="60">
        <v>0</v>
      </c>
      <c r="BL106" s="70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</row>
    <row r="107" spans="43:101" ht="147.75" customHeight="1" x14ac:dyDescent="0.25">
      <c r="BH107" s="60">
        <v>1</v>
      </c>
      <c r="BI107" s="60"/>
      <c r="BJ107" s="60" t="s">
        <v>7</v>
      </c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</row>
    <row r="108" spans="43:101" ht="147.75" customHeight="1" x14ac:dyDescent="0.25">
      <c r="BH108" s="60">
        <v>2</v>
      </c>
      <c r="BI108" s="60"/>
      <c r="BJ108" s="60" t="s">
        <v>32</v>
      </c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</row>
    <row r="109" spans="43:101" ht="147.75" customHeight="1" x14ac:dyDescent="0.25">
      <c r="BH109" s="60">
        <v>3</v>
      </c>
      <c r="BI109" s="60"/>
      <c r="BJ109" s="60" t="s">
        <v>46</v>
      </c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</row>
    <row r="110" spans="43:101" ht="147.75" customHeight="1" x14ac:dyDescent="0.25"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H110" s="60">
        <v>4</v>
      </c>
      <c r="BJ110" s="60" t="s">
        <v>49</v>
      </c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</row>
    <row r="111" spans="43:101" ht="147.75" customHeight="1" x14ac:dyDescent="0.25"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H111" s="60">
        <v>5</v>
      </c>
      <c r="BI111" s="60"/>
      <c r="BJ111" s="60" t="s">
        <v>50</v>
      </c>
    </row>
    <row r="112" spans="43:101" ht="147.75" customHeight="1" x14ac:dyDescent="0.25">
      <c r="BH112" s="60">
        <v>6</v>
      </c>
      <c r="BI112" s="60"/>
      <c r="BJ112" s="60" t="s">
        <v>8</v>
      </c>
    </row>
    <row r="113" spans="60:62" ht="147.75" customHeight="1" x14ac:dyDescent="0.25">
      <c r="BH113" s="60">
        <v>7</v>
      </c>
      <c r="BI113" s="60"/>
      <c r="BJ113" s="60" t="s">
        <v>33</v>
      </c>
    </row>
    <row r="114" spans="60:62" ht="147.75" customHeight="1" x14ac:dyDescent="0.25">
      <c r="BH114" s="60">
        <v>8</v>
      </c>
      <c r="BI114" s="60"/>
      <c r="BJ114" s="60" t="s">
        <v>11</v>
      </c>
    </row>
    <row r="115" spans="60:62" ht="147.75" customHeight="1" x14ac:dyDescent="0.25">
      <c r="BH115" s="60">
        <v>9</v>
      </c>
      <c r="BJ115" s="60" t="s">
        <v>51</v>
      </c>
    </row>
    <row r="116" spans="60:62" ht="147.75" customHeight="1" x14ac:dyDescent="0.25">
      <c r="BH116" s="60">
        <v>10</v>
      </c>
      <c r="BI116" s="60"/>
      <c r="BJ116" s="60" t="s">
        <v>52</v>
      </c>
    </row>
    <row r="117" spans="60:62" ht="18.75" customHeight="1" x14ac:dyDescent="0.25">
      <c r="BH117" s="60"/>
      <c r="BI117" s="60"/>
      <c r="BJ117" s="60"/>
    </row>
    <row r="118" spans="60:62" ht="18.75" customHeight="1" x14ac:dyDescent="0.25"/>
    <row r="119" spans="60:62" ht="18.75" customHeight="1" x14ac:dyDescent="0.25"/>
    <row r="120" spans="60:62" ht="18.75" customHeight="1" x14ac:dyDescent="0.25"/>
    <row r="121" spans="60:62" ht="18.75" customHeight="1" x14ac:dyDescent="0.25"/>
    <row r="122" spans="60:62" ht="18.75" customHeight="1" x14ac:dyDescent="0.25"/>
    <row r="123" spans="60:62" ht="18.75" customHeight="1" x14ac:dyDescent="0.25"/>
    <row r="124" spans="60:62" ht="18.75" customHeight="1" x14ac:dyDescent="0.25"/>
    <row r="125" spans="60:62" ht="18.75" customHeight="1" x14ac:dyDescent="0.25"/>
    <row r="126" spans="60:62" ht="18.75" customHeight="1" x14ac:dyDescent="0.25"/>
    <row r="127" spans="60:62" ht="18.75" customHeight="1" x14ac:dyDescent="0.25"/>
    <row r="128" spans="60:62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</sheetData>
  <sheetProtection algorithmName="SHA-512" hashValue="XteyJ2Lg0fyRS0vG1yQJaI2zXPf3oQEm/rYL906AC896xw3YWgfUF6Znsclz48OdQcEoW0wuVviRXu0f27shvA==" saltValue="mmZm+04fdSjizknZpDMKoQ==" spinCount="100000" sheet="1" objects="1" scenarios="1" selectLockedCells="1" selectUnlockedCells="1"/>
  <mergeCells count="1">
    <mergeCell ref="BL105:BN10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0CF4-4517-4429-9F8A-2F24405DB717}">
  <dimension ref="A1"/>
  <sheetViews>
    <sheetView workbookViewId="0"/>
  </sheetViews>
  <sheetFormatPr defaultRowHeight="15" x14ac:dyDescent="0.25"/>
  <cols>
    <col min="1" max="1" width="12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040CA-C53A-47DB-BCDF-FB5C639D2C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14</vt:i4>
      </vt:variant>
    </vt:vector>
  </HeadingPairs>
  <TitlesOfParts>
    <vt:vector size="17" baseType="lpstr">
      <vt:lpstr>Forest FES-rekenschema</vt:lpstr>
      <vt:lpstr>Blad2</vt:lpstr>
      <vt:lpstr>Blad3</vt:lpstr>
      <vt:lpstr>_r1e</vt:lpstr>
      <vt:lpstr>_r1m</vt:lpstr>
      <vt:lpstr>_r2e</vt:lpstr>
      <vt:lpstr>_r2m</vt:lpstr>
      <vt:lpstr>_r3e</vt:lpstr>
      <vt:lpstr>_r3m</vt:lpstr>
      <vt:lpstr>_r4e</vt:lpstr>
      <vt:lpstr>_r4m</vt:lpstr>
      <vt:lpstr>_r5e</vt:lpstr>
      <vt:lpstr>_r5m</vt:lpstr>
      <vt:lpstr>Blad2!Afdrukbereik</vt:lpstr>
      <vt:lpstr>'Forest FES-rekenschema'!Afdrukbereik</vt:lpstr>
      <vt:lpstr>DEF3000000</vt:lpstr>
      <vt:lpstr>rail_naam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Mulderij – Forestgroup</dc:creator>
  <cp:lastModifiedBy>Wouter Mulderij – Forestgroup</cp:lastModifiedBy>
  <cp:lastPrinted>2021-07-28T07:28:52Z</cp:lastPrinted>
  <dcterms:created xsi:type="dcterms:W3CDTF">2020-11-12T07:07:18Z</dcterms:created>
  <dcterms:modified xsi:type="dcterms:W3CDTF">2021-07-28T07:31:14Z</dcterms:modified>
</cp:coreProperties>
</file>